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70" windowWidth="6720" windowHeight="4500" activeTab="3"/>
  </bookViews>
  <sheets>
    <sheet name="Results" sheetId="1" r:id="rId1"/>
    <sheet name="Calibration" sheetId="2" r:id="rId2"/>
    <sheet name="for python plot" sheetId="6" r:id="rId3"/>
    <sheet name="equator" sheetId="11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Results!$B$1:$C$330</definedName>
  </definedNames>
  <calcPr calcId="145621"/>
</workbook>
</file>

<file path=xl/calcChain.xml><?xml version="1.0" encoding="utf-8"?>
<calcChain xmlns="http://schemas.openxmlformats.org/spreadsheetml/2006/main">
  <c r="AX172" i="1" l="1"/>
  <c r="AX11" i="1"/>
  <c r="AX25" i="1"/>
  <c r="AX39" i="1"/>
  <c r="AX93" i="1"/>
  <c r="AX102" i="1"/>
  <c r="AX114" i="1"/>
  <c r="AX127" i="1"/>
  <c r="AX186" i="1"/>
  <c r="AX208" i="1"/>
  <c r="AX220" i="1"/>
  <c r="AX229" i="1"/>
  <c r="AX328" i="1"/>
  <c r="AX325" i="1"/>
  <c r="AX322" i="1"/>
  <c r="AX319" i="1"/>
  <c r="AX316" i="1"/>
  <c r="AX313" i="1"/>
  <c r="AX310" i="1"/>
  <c r="AX307" i="1"/>
  <c r="AX304" i="1"/>
  <c r="AX301" i="1"/>
  <c r="AX298" i="1"/>
  <c r="AX295" i="1"/>
  <c r="AX292" i="1"/>
  <c r="AX289" i="1"/>
  <c r="AX286" i="1"/>
  <c r="AX283" i="1"/>
  <c r="AX280" i="1"/>
  <c r="AX277" i="1"/>
  <c r="AX274" i="1"/>
  <c r="AX271" i="1"/>
  <c r="AX268" i="1"/>
  <c r="AX265" i="1"/>
  <c r="AX262" i="1"/>
  <c r="AX259" i="1"/>
  <c r="AX256" i="1"/>
  <c r="AX253" i="1"/>
  <c r="AX250" i="1"/>
  <c r="AX247" i="1"/>
  <c r="AX198" i="1"/>
  <c r="AX244" i="1"/>
  <c r="AX241" i="1"/>
  <c r="AX238" i="1"/>
  <c r="AX235" i="1"/>
  <c r="AX226" i="1"/>
  <c r="AX217" i="1"/>
  <c r="AX214" i="1"/>
  <c r="AX205" i="1"/>
  <c r="AX202" i="1"/>
  <c r="AX195" i="1"/>
  <c r="AX192" i="1"/>
  <c r="AX182" i="1"/>
  <c r="AX179" i="1"/>
  <c r="AX176" i="1"/>
  <c r="AX173" i="1"/>
  <c r="AX169" i="1"/>
  <c r="AX166" i="1"/>
  <c r="AX163" i="1"/>
  <c r="AX160" i="1"/>
  <c r="AX157" i="1"/>
  <c r="AX154" i="1"/>
  <c r="AX151" i="1"/>
  <c r="AX148" i="1"/>
  <c r="AX145" i="1"/>
  <c r="AX142" i="1"/>
  <c r="AX139" i="1"/>
  <c r="AX136" i="1"/>
  <c r="AX133" i="1"/>
  <c r="AX124" i="1"/>
  <c r="AX121" i="1"/>
  <c r="AX111" i="1"/>
  <c r="AX108" i="1"/>
  <c r="AX99" i="1"/>
  <c r="AX84" i="1"/>
  <c r="AX90" i="1"/>
  <c r="AX87" i="1"/>
  <c r="AX81" i="1"/>
  <c r="AX78" i="1"/>
  <c r="AX75" i="1"/>
  <c r="AX72" i="1"/>
  <c r="AX69" i="1"/>
  <c r="AX66" i="1"/>
  <c r="AX63" i="1"/>
  <c r="AX60" i="1"/>
  <c r="AX57" i="1"/>
  <c r="AX54" i="1"/>
  <c r="AX51" i="1"/>
  <c r="AX48" i="1"/>
  <c r="AX45" i="1"/>
  <c r="AX36" i="1"/>
  <c r="AX33" i="1"/>
  <c r="AX30" i="1"/>
  <c r="AX22" i="1"/>
  <c r="AX19" i="1"/>
  <c r="AX16" i="1"/>
  <c r="AX8" i="1"/>
  <c r="AX5" i="1"/>
  <c r="AX2" i="1"/>
  <c r="M85" i="2" l="1"/>
  <c r="T341" i="1" l="1"/>
  <c r="R345" i="1"/>
  <c r="P341" i="1"/>
  <c r="O341" i="1"/>
  <c r="O345" i="1"/>
  <c r="J339" i="1"/>
  <c r="J338" i="1"/>
  <c r="J337" i="1"/>
  <c r="K339" i="1"/>
  <c r="K338" i="1"/>
  <c r="K337" i="1"/>
  <c r="J336" i="1"/>
  <c r="J335" i="1"/>
  <c r="J334" i="1"/>
  <c r="K336" i="1"/>
  <c r="K335" i="1"/>
  <c r="K334" i="1"/>
  <c r="AE334" i="1"/>
  <c r="BW334" i="1"/>
  <c r="J333" i="1"/>
  <c r="J332" i="1"/>
  <c r="J331" i="1"/>
  <c r="K333" i="1"/>
  <c r="K332" i="1"/>
  <c r="K331" i="1"/>
  <c r="O73" i="2"/>
  <c r="AE333" i="1"/>
  <c r="BW333" i="1"/>
  <c r="AE332" i="1"/>
  <c r="BW332" i="1"/>
  <c r="AE331" i="1"/>
  <c r="BW331" i="1"/>
  <c r="BB362" i="1" l="1"/>
  <c r="BB361" i="1"/>
  <c r="BW330" i="1" l="1"/>
  <c r="BW329" i="1"/>
  <c r="BW328" i="1"/>
  <c r="BW327" i="1"/>
  <c r="BW326" i="1"/>
  <c r="BW325" i="1"/>
  <c r="BW324" i="1"/>
  <c r="BW323" i="1"/>
  <c r="BW322" i="1"/>
  <c r="BW321" i="1"/>
  <c r="BW320" i="1"/>
  <c r="BW319" i="1"/>
  <c r="BW318" i="1"/>
  <c r="BW317" i="1"/>
  <c r="BW316" i="1"/>
  <c r="BW315" i="1"/>
  <c r="BW314" i="1"/>
  <c r="BW313" i="1"/>
  <c r="BW312" i="1"/>
  <c r="BW311" i="1"/>
  <c r="BW310" i="1"/>
  <c r="BW309" i="1"/>
  <c r="BW308" i="1"/>
  <c r="BW307" i="1"/>
  <c r="BW306" i="1"/>
  <c r="BW305" i="1"/>
  <c r="BW304" i="1"/>
  <c r="BW303" i="1"/>
  <c r="BW302" i="1"/>
  <c r="BW301" i="1"/>
  <c r="BW300" i="1"/>
  <c r="BW299" i="1"/>
  <c r="BW298" i="1"/>
  <c r="BW297" i="1"/>
  <c r="BW296" i="1"/>
  <c r="BW295" i="1"/>
  <c r="BW294" i="1"/>
  <c r="BW293" i="1"/>
  <c r="BW292" i="1"/>
  <c r="BW291" i="1"/>
  <c r="BW290" i="1"/>
  <c r="BW289" i="1"/>
  <c r="BW288" i="1"/>
  <c r="BW287" i="1"/>
  <c r="BW286" i="1"/>
  <c r="BW285" i="1"/>
  <c r="BW284" i="1"/>
  <c r="BW283" i="1"/>
  <c r="BW282" i="1"/>
  <c r="BW281" i="1"/>
  <c r="BW280" i="1"/>
  <c r="BW279" i="1"/>
  <c r="BW278" i="1"/>
  <c r="BW277" i="1"/>
  <c r="BW276" i="1"/>
  <c r="BW275" i="1"/>
  <c r="BW274" i="1"/>
  <c r="BW273" i="1"/>
  <c r="BW272" i="1"/>
  <c r="BW271" i="1"/>
  <c r="BW270" i="1"/>
  <c r="BW269" i="1"/>
  <c r="BW268" i="1"/>
  <c r="BW267" i="1"/>
  <c r="BW266" i="1"/>
  <c r="BW265" i="1"/>
  <c r="BW264" i="1"/>
  <c r="BW263" i="1"/>
  <c r="BW262" i="1"/>
  <c r="BW261" i="1"/>
  <c r="BW260" i="1"/>
  <c r="BW259" i="1"/>
  <c r="BW258" i="1"/>
  <c r="BW257" i="1"/>
  <c r="BW256" i="1"/>
  <c r="BW255" i="1"/>
  <c r="BW254" i="1"/>
  <c r="BW253" i="1"/>
  <c r="BW252" i="1"/>
  <c r="BW251" i="1"/>
  <c r="BW250" i="1"/>
  <c r="BW249" i="1"/>
  <c r="BW248" i="1"/>
  <c r="BW247" i="1"/>
  <c r="BW246" i="1"/>
  <c r="BW245" i="1"/>
  <c r="BW244" i="1"/>
  <c r="BW243" i="1"/>
  <c r="BW242" i="1"/>
  <c r="BW241" i="1"/>
  <c r="BW240" i="1"/>
  <c r="BW239" i="1"/>
  <c r="BW238" i="1"/>
  <c r="BW237" i="1"/>
  <c r="BW236" i="1"/>
  <c r="BW235" i="1"/>
  <c r="BW234" i="1"/>
  <c r="BW233" i="1"/>
  <c r="BW232" i="1"/>
  <c r="BW231" i="1"/>
  <c r="BW230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5" i="1"/>
  <c r="BW214" i="1"/>
  <c r="BW213" i="1"/>
  <c r="BW212" i="1"/>
  <c r="BW211" i="1"/>
  <c r="BW210" i="1"/>
  <c r="BW209" i="1"/>
  <c r="BW208" i="1"/>
  <c r="BW207" i="1"/>
  <c r="BW206" i="1"/>
  <c r="BW205" i="1"/>
  <c r="BW204" i="1"/>
  <c r="BW203" i="1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8" i="1"/>
  <c r="BW167" i="1"/>
  <c r="BW166" i="1"/>
  <c r="BW165" i="1"/>
  <c r="BW164" i="1"/>
  <c r="BW163" i="1"/>
  <c r="BW162" i="1"/>
  <c r="BW161" i="1"/>
  <c r="BW160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  <c r="BW3" i="1"/>
  <c r="BW2" i="1"/>
  <c r="BW1" i="1"/>
  <c r="BO253" i="1"/>
  <c r="BR330" i="1" l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V172" i="1" s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3" i="1"/>
  <c r="BR2" i="1"/>
  <c r="BQ2" i="1"/>
  <c r="BV45" i="1" l="1"/>
  <c r="BV57" i="1"/>
  <c r="BV69" i="1"/>
  <c r="BV81" i="1"/>
  <c r="BV121" i="1"/>
  <c r="BV133" i="1"/>
  <c r="BV145" i="1"/>
  <c r="BV157" i="1"/>
  <c r="BV169" i="1"/>
  <c r="BV173" i="1"/>
  <c r="BV205" i="1"/>
  <c r="BV217" i="1"/>
  <c r="BV241" i="1"/>
  <c r="BV253" i="1"/>
  <c r="BV265" i="1"/>
  <c r="BV277" i="1"/>
  <c r="BV289" i="1"/>
  <c r="BV301" i="1"/>
  <c r="BV313" i="1"/>
  <c r="BV325" i="1"/>
  <c r="BV8" i="1"/>
  <c r="BV16" i="1"/>
  <c r="BV36" i="1"/>
  <c r="BV48" i="1"/>
  <c r="BV60" i="1"/>
  <c r="BV72" i="1"/>
  <c r="BV84" i="1"/>
  <c r="BV99" i="1"/>
  <c r="BV108" i="1"/>
  <c r="BV114" i="1"/>
  <c r="BV124" i="1"/>
  <c r="BV136" i="1"/>
  <c r="BV148" i="1"/>
  <c r="BV160" i="1"/>
  <c r="BV176" i="1"/>
  <c r="BV179" i="1"/>
  <c r="BV192" i="1"/>
  <c r="BV195" i="1"/>
  <c r="BV208" i="1"/>
  <c r="BV220" i="1"/>
  <c r="BV226" i="1"/>
  <c r="BV244" i="1"/>
  <c r="BV256" i="1"/>
  <c r="BV268" i="1"/>
  <c r="BV280" i="1"/>
  <c r="BV292" i="1"/>
  <c r="BV304" i="1"/>
  <c r="BV316" i="1"/>
  <c r="BV328" i="1"/>
  <c r="BV25" i="1"/>
  <c r="BV93" i="1"/>
  <c r="BV229" i="1"/>
  <c r="BV22" i="1"/>
  <c r="BV30" i="1"/>
  <c r="BV54" i="1"/>
  <c r="BV66" i="1"/>
  <c r="BV78" i="1"/>
  <c r="BV90" i="1"/>
  <c r="BV102" i="1"/>
  <c r="BV142" i="1"/>
  <c r="BV154" i="1"/>
  <c r="BV166" i="1"/>
  <c r="BV182" i="1"/>
  <c r="BV186" i="1"/>
  <c r="BV198" i="1"/>
  <c r="BV202" i="1"/>
  <c r="BV214" i="1"/>
  <c r="BV238" i="1"/>
  <c r="BV250" i="1"/>
  <c r="BV262" i="1"/>
  <c r="BV274" i="1"/>
  <c r="BV286" i="1"/>
  <c r="BV298" i="1"/>
  <c r="BV310" i="1"/>
  <c r="BV322" i="1"/>
  <c r="BV2" i="1"/>
  <c r="BV5" i="1"/>
  <c r="BV11" i="1"/>
  <c r="BV19" i="1"/>
  <c r="BV33" i="1"/>
  <c r="BV39" i="1"/>
  <c r="BV51" i="1"/>
  <c r="BV63" i="1"/>
  <c r="BV75" i="1"/>
  <c r="BV87" i="1"/>
  <c r="BV111" i="1"/>
  <c r="BV127" i="1"/>
  <c r="BV139" i="1"/>
  <c r="BV151" i="1"/>
  <c r="BV163" i="1"/>
  <c r="BV235" i="1"/>
  <c r="BV247" i="1"/>
  <c r="BV259" i="1"/>
  <c r="BV271" i="1"/>
  <c r="BV283" i="1"/>
  <c r="BV295" i="1"/>
  <c r="BV307" i="1"/>
  <c r="BV319" i="1"/>
  <c r="BV342" i="1" l="1"/>
  <c r="BV343" i="1" s="1"/>
  <c r="BV340" i="1"/>
  <c r="BV341" i="1"/>
  <c r="BV345" i="1" s="1"/>
  <c r="AG342" i="1"/>
  <c r="BP2" i="1" l="1"/>
  <c r="BQ330" i="1" l="1"/>
  <c r="BQ329" i="1"/>
  <c r="BQ328" i="1"/>
  <c r="BQ327" i="1"/>
  <c r="BQ326" i="1"/>
  <c r="BQ325" i="1"/>
  <c r="BQ324" i="1"/>
  <c r="BQ323" i="1"/>
  <c r="BQ322" i="1"/>
  <c r="BQ321" i="1"/>
  <c r="BQ320" i="1"/>
  <c r="BQ319" i="1"/>
  <c r="BQ318" i="1"/>
  <c r="BQ317" i="1"/>
  <c r="BQ316" i="1"/>
  <c r="BQ315" i="1"/>
  <c r="BQ314" i="1"/>
  <c r="BQ313" i="1"/>
  <c r="BQ312" i="1"/>
  <c r="BQ311" i="1"/>
  <c r="BQ310" i="1"/>
  <c r="BQ309" i="1"/>
  <c r="BQ308" i="1"/>
  <c r="BQ307" i="1"/>
  <c r="BQ306" i="1"/>
  <c r="BQ305" i="1"/>
  <c r="BQ304" i="1"/>
  <c r="BQ303" i="1"/>
  <c r="BQ302" i="1"/>
  <c r="BQ301" i="1"/>
  <c r="BQ300" i="1"/>
  <c r="BQ299" i="1"/>
  <c r="BQ298" i="1"/>
  <c r="BQ297" i="1"/>
  <c r="BQ296" i="1"/>
  <c r="BQ295" i="1"/>
  <c r="BQ294" i="1"/>
  <c r="BQ293" i="1"/>
  <c r="BQ292" i="1"/>
  <c r="BQ291" i="1"/>
  <c r="BQ290" i="1"/>
  <c r="BQ289" i="1"/>
  <c r="BQ288" i="1"/>
  <c r="BQ287" i="1"/>
  <c r="BQ286" i="1"/>
  <c r="BQ285" i="1"/>
  <c r="BQ284" i="1"/>
  <c r="BQ283" i="1"/>
  <c r="BQ282" i="1"/>
  <c r="BQ281" i="1"/>
  <c r="BQ280" i="1"/>
  <c r="BQ279" i="1"/>
  <c r="BQ278" i="1"/>
  <c r="BQ277" i="1"/>
  <c r="BQ276" i="1"/>
  <c r="BQ275" i="1"/>
  <c r="BQ274" i="1"/>
  <c r="BQ273" i="1"/>
  <c r="BQ272" i="1"/>
  <c r="BQ271" i="1"/>
  <c r="BQ270" i="1"/>
  <c r="BQ269" i="1"/>
  <c r="BQ268" i="1"/>
  <c r="BQ267" i="1"/>
  <c r="BQ266" i="1"/>
  <c r="BQ265" i="1"/>
  <c r="BQ264" i="1"/>
  <c r="BQ263" i="1"/>
  <c r="BQ262" i="1"/>
  <c r="BQ261" i="1"/>
  <c r="BQ260" i="1"/>
  <c r="BQ259" i="1"/>
  <c r="BQ258" i="1"/>
  <c r="BQ257" i="1"/>
  <c r="BQ256" i="1"/>
  <c r="BQ255" i="1"/>
  <c r="BQ254" i="1"/>
  <c r="BQ253" i="1"/>
  <c r="BQ252" i="1"/>
  <c r="BQ251" i="1"/>
  <c r="BQ250" i="1"/>
  <c r="BQ249" i="1"/>
  <c r="BQ248" i="1"/>
  <c r="BQ247" i="1"/>
  <c r="BQ246" i="1"/>
  <c r="BQ245" i="1"/>
  <c r="BQ244" i="1"/>
  <c r="BQ243" i="1"/>
  <c r="BQ242" i="1"/>
  <c r="BQ241" i="1"/>
  <c r="BQ240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26" i="1"/>
  <c r="BQ225" i="1"/>
  <c r="BQ224" i="1"/>
  <c r="BQ223" i="1"/>
  <c r="BQ222" i="1"/>
  <c r="BQ221" i="1"/>
  <c r="BQ220" i="1"/>
  <c r="BQ219" i="1"/>
  <c r="BQ218" i="1"/>
  <c r="BQ217" i="1"/>
  <c r="BQ216" i="1"/>
  <c r="BQ215" i="1"/>
  <c r="BQ214" i="1"/>
  <c r="BQ213" i="1"/>
  <c r="BQ212" i="1"/>
  <c r="BQ211" i="1"/>
  <c r="BQ210" i="1"/>
  <c r="BQ209" i="1"/>
  <c r="BQ208" i="1"/>
  <c r="BQ207" i="1"/>
  <c r="BQ206" i="1"/>
  <c r="BQ205" i="1"/>
  <c r="BQ204" i="1"/>
  <c r="BQ203" i="1"/>
  <c r="BQ202" i="1"/>
  <c r="BQ201" i="1"/>
  <c r="BQ200" i="1"/>
  <c r="BQ199" i="1"/>
  <c r="BQ198" i="1"/>
  <c r="BQ197" i="1"/>
  <c r="BQ196" i="1"/>
  <c r="BQ195" i="1"/>
  <c r="BQ194" i="1"/>
  <c r="BQ193" i="1"/>
  <c r="BQ192" i="1"/>
  <c r="BQ191" i="1"/>
  <c r="BQ190" i="1"/>
  <c r="BQ189" i="1"/>
  <c r="BQ188" i="1"/>
  <c r="BQ187" i="1"/>
  <c r="BQ186" i="1"/>
  <c r="BQ185" i="1"/>
  <c r="BQ184" i="1"/>
  <c r="BQ183" i="1"/>
  <c r="BQ182" i="1"/>
  <c r="BQ181" i="1"/>
  <c r="BQ180" i="1"/>
  <c r="BQ179" i="1"/>
  <c r="BQ178" i="1"/>
  <c r="BQ177" i="1"/>
  <c r="BQ176" i="1"/>
  <c r="BQ175" i="1"/>
  <c r="BQ174" i="1"/>
  <c r="BQ173" i="1"/>
  <c r="BQ172" i="1"/>
  <c r="BU172" i="1" s="1"/>
  <c r="BQ171" i="1"/>
  <c r="BQ170" i="1"/>
  <c r="BQ169" i="1"/>
  <c r="BQ168" i="1"/>
  <c r="BQ167" i="1"/>
  <c r="BQ166" i="1"/>
  <c r="BQ165" i="1"/>
  <c r="BQ164" i="1"/>
  <c r="BQ163" i="1"/>
  <c r="BQ162" i="1"/>
  <c r="BQ161" i="1"/>
  <c r="BQ160" i="1"/>
  <c r="BQ159" i="1"/>
  <c r="BQ158" i="1"/>
  <c r="BQ157" i="1"/>
  <c r="BQ156" i="1"/>
  <c r="BQ155" i="1"/>
  <c r="BQ154" i="1"/>
  <c r="BQ153" i="1"/>
  <c r="BQ152" i="1"/>
  <c r="BQ151" i="1"/>
  <c r="BQ150" i="1"/>
  <c r="BQ149" i="1"/>
  <c r="BQ148" i="1"/>
  <c r="BQ147" i="1"/>
  <c r="BQ146" i="1"/>
  <c r="BQ145" i="1"/>
  <c r="BQ144" i="1"/>
  <c r="BQ143" i="1"/>
  <c r="BQ142" i="1"/>
  <c r="BQ141" i="1"/>
  <c r="BQ140" i="1"/>
  <c r="BQ139" i="1"/>
  <c r="BQ138" i="1"/>
  <c r="BQ137" i="1"/>
  <c r="BQ136" i="1"/>
  <c r="BQ135" i="1"/>
  <c r="BQ134" i="1"/>
  <c r="BQ133" i="1"/>
  <c r="BQ132" i="1"/>
  <c r="BQ131" i="1"/>
  <c r="BQ130" i="1"/>
  <c r="BQ129" i="1"/>
  <c r="BQ128" i="1"/>
  <c r="BQ127" i="1"/>
  <c r="BQ126" i="1"/>
  <c r="BQ125" i="1"/>
  <c r="BQ124" i="1"/>
  <c r="BQ123" i="1"/>
  <c r="BQ122" i="1"/>
  <c r="BQ121" i="1"/>
  <c r="BQ120" i="1"/>
  <c r="BQ119" i="1"/>
  <c r="BQ118" i="1"/>
  <c r="BQ117" i="1"/>
  <c r="BQ116" i="1"/>
  <c r="BQ115" i="1"/>
  <c r="BQ114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Q3" i="1"/>
  <c r="BO2" i="1"/>
  <c r="BU22" i="1" l="1"/>
  <c r="BU214" i="1"/>
  <c r="BU319" i="1"/>
  <c r="BU5" i="1"/>
  <c r="BU8" i="1"/>
  <c r="BU25" i="1"/>
  <c r="BU33" i="1"/>
  <c r="BU36" i="1"/>
  <c r="BU45" i="1"/>
  <c r="BU51" i="1"/>
  <c r="BU57" i="1"/>
  <c r="BU63" i="1"/>
  <c r="BU69" i="1"/>
  <c r="BU75" i="1"/>
  <c r="BU81" i="1"/>
  <c r="BU87" i="1"/>
  <c r="BU93" i="1"/>
  <c r="BU102" i="1"/>
  <c r="BU121" i="1"/>
  <c r="BU133" i="1"/>
  <c r="BU136" i="1"/>
  <c r="BU145" i="1"/>
  <c r="BU148" i="1"/>
  <c r="BU157" i="1"/>
  <c r="BU160" i="1"/>
  <c r="BU169" i="1"/>
  <c r="BU173" i="1"/>
  <c r="BU182" i="1"/>
  <c r="BU198" i="1"/>
  <c r="BU205" i="1"/>
  <c r="BU217" i="1"/>
  <c r="BU229" i="1"/>
  <c r="BU241" i="1"/>
  <c r="BU244" i="1"/>
  <c r="BU253" i="1"/>
  <c r="BU256" i="1"/>
  <c r="BU265" i="1"/>
  <c r="BU268" i="1"/>
  <c r="BU277" i="1"/>
  <c r="BU280" i="1"/>
  <c r="BU289" i="1"/>
  <c r="BU292" i="1"/>
  <c r="BU301" i="1"/>
  <c r="BU304" i="1"/>
  <c r="BU313" i="1"/>
  <c r="BU316" i="1"/>
  <c r="BU325" i="1"/>
  <c r="BU328" i="1"/>
  <c r="BU30" i="1"/>
  <c r="BU54" i="1"/>
  <c r="BU66" i="1"/>
  <c r="BU78" i="1"/>
  <c r="BU90" i="1"/>
  <c r="BU114" i="1"/>
  <c r="BU142" i="1"/>
  <c r="BU154" i="1"/>
  <c r="BU166" i="1"/>
  <c r="BU186" i="1"/>
  <c r="BU202" i="1"/>
  <c r="BU226" i="1"/>
  <c r="BU238" i="1"/>
  <c r="BU250" i="1"/>
  <c r="BU262" i="1"/>
  <c r="BU274" i="1"/>
  <c r="BU286" i="1"/>
  <c r="BU298" i="1"/>
  <c r="BU310" i="1"/>
  <c r="BU322" i="1"/>
  <c r="BU11" i="1"/>
  <c r="BU19" i="1"/>
  <c r="BU39" i="1"/>
  <c r="BU99" i="1"/>
  <c r="BU111" i="1"/>
  <c r="BU127" i="1"/>
  <c r="BU139" i="1"/>
  <c r="BU151" i="1"/>
  <c r="BU163" i="1"/>
  <c r="BU179" i="1"/>
  <c r="BU195" i="1"/>
  <c r="BU235" i="1"/>
  <c r="BU247" i="1"/>
  <c r="BU259" i="1"/>
  <c r="BU271" i="1"/>
  <c r="BU283" i="1"/>
  <c r="BU295" i="1"/>
  <c r="BU307" i="1"/>
  <c r="BU16" i="1"/>
  <c r="BU48" i="1"/>
  <c r="BU60" i="1"/>
  <c r="BU72" i="1"/>
  <c r="BU84" i="1"/>
  <c r="BU108" i="1"/>
  <c r="BU124" i="1"/>
  <c r="BU176" i="1"/>
  <c r="BU192" i="1"/>
  <c r="BU208" i="1"/>
  <c r="BU220" i="1"/>
  <c r="BU2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F136" i="1"/>
  <c r="BU342" i="1" l="1"/>
  <c r="BU343" i="1" s="1"/>
  <c r="BU341" i="1"/>
  <c r="BU345" i="1" s="1"/>
  <c r="BU340" i="1"/>
  <c r="AH277" i="1"/>
  <c r="BP4" i="1"/>
  <c r="AG328" i="1" l="1"/>
  <c r="AG325" i="1"/>
  <c r="AG322" i="1"/>
  <c r="AG319" i="1"/>
  <c r="AG316" i="1"/>
  <c r="AG313" i="1"/>
  <c r="AG310" i="1"/>
  <c r="AG307" i="1"/>
  <c r="AG304" i="1"/>
  <c r="AG301" i="1"/>
  <c r="AG298" i="1"/>
  <c r="AG295" i="1"/>
  <c r="AG292" i="1"/>
  <c r="AG289" i="1"/>
  <c r="AG286" i="1"/>
  <c r="AG283" i="1"/>
  <c r="AG280" i="1"/>
  <c r="AG274" i="1"/>
  <c r="AG271" i="1"/>
  <c r="AG268" i="1"/>
  <c r="AG265" i="1"/>
  <c r="AG262" i="1"/>
  <c r="AG259" i="1"/>
  <c r="AG256" i="1"/>
  <c r="AG253" i="1"/>
  <c r="AG250" i="1"/>
  <c r="AG247" i="1"/>
  <c r="AG244" i="1"/>
  <c r="AG241" i="1"/>
  <c r="AG238" i="1"/>
  <c r="AG235" i="1"/>
  <c r="AG229" i="1"/>
  <c r="AG226" i="1"/>
  <c r="AG220" i="1"/>
  <c r="AG217" i="1"/>
  <c r="AG214" i="1"/>
  <c r="AG208" i="1"/>
  <c r="AG205" i="1"/>
  <c r="AG202" i="1"/>
  <c r="AG198" i="1"/>
  <c r="AG195" i="1"/>
  <c r="AG192" i="1"/>
  <c r="AG186" i="1"/>
  <c r="AG182" i="1"/>
  <c r="AG179" i="1"/>
  <c r="AG176" i="1"/>
  <c r="AG173" i="1"/>
  <c r="AG172" i="1"/>
  <c r="AG169" i="1"/>
  <c r="AG166" i="1"/>
  <c r="AG163" i="1"/>
  <c r="AG160" i="1"/>
  <c r="AG157" i="1"/>
  <c r="AG154" i="1"/>
  <c r="AG151" i="1"/>
  <c r="AG148" i="1"/>
  <c r="AG145" i="1"/>
  <c r="AG142" i="1"/>
  <c r="AG139" i="1"/>
  <c r="AG136" i="1"/>
  <c r="AG133" i="1"/>
  <c r="AG127" i="1"/>
  <c r="AG124" i="1"/>
  <c r="AG121" i="1"/>
  <c r="AG114" i="1"/>
  <c r="AG111" i="1"/>
  <c r="AG108" i="1"/>
  <c r="AG102" i="1"/>
  <c r="AG99" i="1"/>
  <c r="AG93" i="1"/>
  <c r="AG90" i="1"/>
  <c r="AG87" i="1"/>
  <c r="AG84" i="1"/>
  <c r="AG81" i="1"/>
  <c r="AG78" i="1"/>
  <c r="AG75" i="1"/>
  <c r="AG72" i="1"/>
  <c r="AG69" i="1"/>
  <c r="AG66" i="1"/>
  <c r="AG63" i="1"/>
  <c r="AG60" i="1"/>
  <c r="AG57" i="1"/>
  <c r="AG54" i="1"/>
  <c r="AG51" i="1"/>
  <c r="AG48" i="1"/>
  <c r="AG45" i="1"/>
  <c r="AG39" i="1"/>
  <c r="AG36" i="1"/>
  <c r="AG33" i="1"/>
  <c r="AG30" i="1"/>
  <c r="AG25" i="1"/>
  <c r="AG22" i="1"/>
  <c r="AG19" i="1"/>
  <c r="AG16" i="1"/>
  <c r="AG11" i="1"/>
  <c r="AG8" i="1"/>
  <c r="AG5" i="1"/>
  <c r="AG2" i="1"/>
  <c r="AC233" i="1"/>
  <c r="AC232" i="1"/>
  <c r="AC231" i="1"/>
  <c r="AC230" i="1"/>
  <c r="AC224" i="1"/>
  <c r="AC223" i="1"/>
  <c r="AC222" i="1"/>
  <c r="AC221" i="1"/>
  <c r="AC212" i="1"/>
  <c r="AC211" i="1"/>
  <c r="AC210" i="1"/>
  <c r="AC209" i="1"/>
  <c r="AC191" i="1"/>
  <c r="AC190" i="1"/>
  <c r="AC189" i="1"/>
  <c r="AC188" i="1"/>
  <c r="AC187" i="1"/>
  <c r="AC186" i="1"/>
  <c r="AC132" i="1"/>
  <c r="AC131" i="1"/>
  <c r="AC130" i="1"/>
  <c r="AC129" i="1"/>
  <c r="AC128" i="1"/>
  <c r="AC127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44" i="1"/>
  <c r="AC43" i="1"/>
  <c r="AC42" i="1"/>
  <c r="AC41" i="1"/>
  <c r="AC40" i="1"/>
  <c r="AC39" i="1"/>
  <c r="BP330" i="1" l="1"/>
  <c r="BP329" i="1"/>
  <c r="BP328" i="1"/>
  <c r="BP327" i="1"/>
  <c r="BP326" i="1"/>
  <c r="BP325" i="1"/>
  <c r="BP324" i="1"/>
  <c r="BP323" i="1"/>
  <c r="BP322" i="1"/>
  <c r="BP321" i="1"/>
  <c r="BP320" i="1"/>
  <c r="BP319" i="1"/>
  <c r="BP318" i="1"/>
  <c r="BP317" i="1"/>
  <c r="BP316" i="1"/>
  <c r="BP315" i="1"/>
  <c r="BP314" i="1"/>
  <c r="BP313" i="1"/>
  <c r="BP312" i="1"/>
  <c r="BP311" i="1"/>
  <c r="BP310" i="1"/>
  <c r="BP309" i="1"/>
  <c r="BP308" i="1"/>
  <c r="BP307" i="1"/>
  <c r="BP306" i="1"/>
  <c r="BP305" i="1"/>
  <c r="BP304" i="1"/>
  <c r="BP303" i="1"/>
  <c r="BP302" i="1"/>
  <c r="BP301" i="1"/>
  <c r="BP300" i="1"/>
  <c r="BP299" i="1"/>
  <c r="BP298" i="1"/>
  <c r="BP297" i="1"/>
  <c r="BP296" i="1"/>
  <c r="BP295" i="1"/>
  <c r="BP294" i="1"/>
  <c r="BP293" i="1"/>
  <c r="BP292" i="1"/>
  <c r="BP291" i="1"/>
  <c r="BP290" i="1"/>
  <c r="BP289" i="1"/>
  <c r="BP282" i="1"/>
  <c r="BP281" i="1"/>
  <c r="BP280" i="1"/>
  <c r="BP279" i="1"/>
  <c r="BP278" i="1"/>
  <c r="BP277" i="1"/>
  <c r="BP276" i="1"/>
  <c r="BP275" i="1"/>
  <c r="BP274" i="1"/>
  <c r="BP273" i="1"/>
  <c r="BP272" i="1"/>
  <c r="BP271" i="1"/>
  <c r="BP270" i="1"/>
  <c r="BP269" i="1"/>
  <c r="BP268" i="1"/>
  <c r="BP267" i="1"/>
  <c r="BP266" i="1"/>
  <c r="BP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BP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P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P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P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P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P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P174" i="1"/>
  <c r="BP173" i="1"/>
  <c r="BP172" i="1"/>
  <c r="BT172" i="1" s="1"/>
  <c r="BP171" i="1"/>
  <c r="BP170" i="1"/>
  <c r="BP169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3" i="1"/>
  <c r="BT2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S172" i="1" s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3" i="1"/>
  <c r="BS2" i="1" l="1"/>
  <c r="BS163" i="1"/>
  <c r="BT289" i="1"/>
  <c r="BT292" i="1"/>
  <c r="BT304" i="1"/>
  <c r="BT313" i="1"/>
  <c r="BT316" i="1"/>
  <c r="BT328" i="1"/>
  <c r="BS253" i="1"/>
  <c r="BS262" i="1"/>
  <c r="BS292" i="1"/>
  <c r="BS304" i="1"/>
  <c r="BS316" i="1"/>
  <c r="BS328" i="1"/>
  <c r="BT5" i="1"/>
  <c r="BT19" i="1"/>
  <c r="BT25" i="1"/>
  <c r="BT33" i="1"/>
  <c r="BT36" i="1"/>
  <c r="BT45" i="1"/>
  <c r="BT51" i="1"/>
  <c r="BT57" i="1"/>
  <c r="BT60" i="1"/>
  <c r="BT69" i="1"/>
  <c r="BT72" i="1"/>
  <c r="BT75" i="1"/>
  <c r="BT81" i="1"/>
  <c r="BT84" i="1"/>
  <c r="BT99" i="1"/>
  <c r="BT108" i="1"/>
  <c r="BT114" i="1"/>
  <c r="BT121" i="1"/>
  <c r="BT133" i="1"/>
  <c r="BT136" i="1"/>
  <c r="BT139" i="1"/>
  <c r="BT145" i="1"/>
  <c r="BT148" i="1"/>
  <c r="BT157" i="1"/>
  <c r="BT160" i="1"/>
  <c r="BT163" i="1"/>
  <c r="BT169" i="1"/>
  <c r="BT173" i="1"/>
  <c r="BT179" i="1"/>
  <c r="BT195" i="1"/>
  <c r="BT205" i="1"/>
  <c r="BT217" i="1"/>
  <c r="BT241" i="1"/>
  <c r="BT244" i="1"/>
  <c r="BT253" i="1"/>
  <c r="BT256" i="1"/>
  <c r="BT268" i="1"/>
  <c r="BT280" i="1"/>
  <c r="BS51" i="1"/>
  <c r="BS63" i="1"/>
  <c r="BS75" i="1"/>
  <c r="BS87" i="1"/>
  <c r="BS99" i="1"/>
  <c r="BS111" i="1"/>
  <c r="BS139" i="1"/>
  <c r="BS151" i="1"/>
  <c r="BS179" i="1"/>
  <c r="BS195" i="1"/>
  <c r="BS235" i="1"/>
  <c r="BS247" i="1"/>
  <c r="BS268" i="1"/>
  <c r="BS244" i="1"/>
  <c r="BT48" i="1"/>
  <c r="BT265" i="1"/>
  <c r="BT277" i="1"/>
  <c r="BT295" i="1"/>
  <c r="BT307" i="1"/>
  <c r="BT319" i="1"/>
  <c r="BS22" i="1"/>
  <c r="BS30" i="1"/>
  <c r="BS36" i="1"/>
  <c r="BS66" i="1"/>
  <c r="BS90" i="1"/>
  <c r="BS182" i="1"/>
  <c r="BS202" i="1"/>
  <c r="BS214" i="1"/>
  <c r="BS238" i="1"/>
  <c r="BS259" i="1"/>
  <c r="BS271" i="1"/>
  <c r="BS289" i="1"/>
  <c r="BS301" i="1"/>
  <c r="BS313" i="1"/>
  <c r="BS325" i="1"/>
  <c r="BT22" i="1"/>
  <c r="BT30" i="1"/>
  <c r="BT54" i="1"/>
  <c r="BT66" i="1"/>
  <c r="BT78" i="1"/>
  <c r="BT90" i="1"/>
  <c r="BT142" i="1"/>
  <c r="BT154" i="1"/>
  <c r="BT166" i="1"/>
  <c r="BT202" i="1"/>
  <c r="BT214" i="1"/>
  <c r="BT226" i="1"/>
  <c r="BS5" i="1"/>
  <c r="BS19" i="1"/>
  <c r="BS45" i="1"/>
  <c r="BS54" i="1"/>
  <c r="BS69" i="1"/>
  <c r="BS78" i="1"/>
  <c r="BS114" i="1"/>
  <c r="BS121" i="1"/>
  <c r="BS142" i="1"/>
  <c r="BS154" i="1"/>
  <c r="BS166" i="1"/>
  <c r="BS198" i="1"/>
  <c r="BS205" i="1"/>
  <c r="BS226" i="1"/>
  <c r="BS250" i="1"/>
  <c r="BS274" i="1"/>
  <c r="BT182" i="1"/>
  <c r="BT198" i="1"/>
  <c r="BT238" i="1"/>
  <c r="BT250" i="1"/>
  <c r="BT262" i="1"/>
  <c r="BT274" i="1"/>
  <c r="BS11" i="1"/>
  <c r="BS8" i="1"/>
  <c r="BS16" i="1"/>
  <c r="BS48" i="1"/>
  <c r="BS60" i="1"/>
  <c r="BS72" i="1"/>
  <c r="BS84" i="1"/>
  <c r="BS108" i="1"/>
  <c r="BS124" i="1"/>
  <c r="BS136" i="1"/>
  <c r="BS148" i="1"/>
  <c r="BS160" i="1"/>
  <c r="BS176" i="1"/>
  <c r="BS192" i="1"/>
  <c r="BS256" i="1"/>
  <c r="BS280" i="1"/>
  <c r="BS310" i="1"/>
  <c r="BT11" i="1"/>
  <c r="BT63" i="1"/>
  <c r="BT87" i="1"/>
  <c r="BT111" i="1"/>
  <c r="BT151" i="1"/>
  <c r="BT235" i="1"/>
  <c r="BT247" i="1"/>
  <c r="BT259" i="1"/>
  <c r="BT271" i="1"/>
  <c r="BT301" i="1"/>
  <c r="BT325" i="1"/>
  <c r="BS25" i="1"/>
  <c r="BS33" i="1"/>
  <c r="BS57" i="1"/>
  <c r="BS81" i="1"/>
  <c r="BS133" i="1"/>
  <c r="BS145" i="1"/>
  <c r="BS157" i="1"/>
  <c r="BS169" i="1"/>
  <c r="BS173" i="1"/>
  <c r="BS217" i="1"/>
  <c r="BS241" i="1"/>
  <c r="BS265" i="1"/>
  <c r="BS277" i="1"/>
  <c r="BS295" i="1"/>
  <c r="BS298" i="1"/>
  <c r="BS307" i="1"/>
  <c r="BS319" i="1"/>
  <c r="BS322" i="1"/>
  <c r="BT8" i="1"/>
  <c r="BT16" i="1"/>
  <c r="BT124" i="1"/>
  <c r="BT176" i="1"/>
  <c r="BT192" i="1"/>
  <c r="BT298" i="1"/>
  <c r="BT310" i="1"/>
  <c r="BT322" i="1"/>
  <c r="AM169" i="11" l="1"/>
  <c r="AL169" i="11"/>
  <c r="AK169" i="11"/>
  <c r="AJ169" i="11"/>
  <c r="Z169" i="11"/>
  <c r="W169" i="11"/>
  <c r="K169" i="11"/>
  <c r="J169" i="11"/>
  <c r="G169" i="11"/>
  <c r="AM168" i="11"/>
  <c r="AL168" i="11"/>
  <c r="AK168" i="11"/>
  <c r="AJ168" i="11"/>
  <c r="Z168" i="11"/>
  <c r="W168" i="11"/>
  <c r="K168" i="11"/>
  <c r="J168" i="11"/>
  <c r="G168" i="11"/>
  <c r="AU167" i="11"/>
  <c r="AT167" i="11"/>
  <c r="AS167" i="11"/>
  <c r="AQ167" i="11"/>
  <c r="AO167" i="11"/>
  <c r="AM167" i="11"/>
  <c r="AL167" i="11"/>
  <c r="AK167" i="11"/>
  <c r="AJ167" i="11"/>
  <c r="AG167" i="11"/>
  <c r="AF167" i="11"/>
  <c r="AE167" i="11"/>
  <c r="Z167" i="11"/>
  <c r="W167" i="11"/>
  <c r="K167" i="11"/>
  <c r="J167" i="11"/>
  <c r="G167" i="11"/>
  <c r="AM166" i="11"/>
  <c r="AL166" i="11"/>
  <c r="AK166" i="11"/>
  <c r="AJ166" i="11"/>
  <c r="Z166" i="11"/>
  <c r="W166" i="11"/>
  <c r="T166" i="11"/>
  <c r="S166" i="11"/>
  <c r="R166" i="11"/>
  <c r="P166" i="11"/>
  <c r="O166" i="11"/>
  <c r="K166" i="11"/>
  <c r="J166" i="11"/>
  <c r="G166" i="11"/>
  <c r="AM165" i="11"/>
  <c r="AL165" i="11"/>
  <c r="AK165" i="11"/>
  <c r="AJ165" i="11"/>
  <c r="Z165" i="11"/>
  <c r="W165" i="11"/>
  <c r="T165" i="11"/>
  <c r="S165" i="11"/>
  <c r="R165" i="11"/>
  <c r="P165" i="11"/>
  <c r="O165" i="11"/>
  <c r="K165" i="11"/>
  <c r="J165" i="11"/>
  <c r="G165" i="11"/>
  <c r="AU164" i="11"/>
  <c r="AT164" i="11"/>
  <c r="AS164" i="11"/>
  <c r="AQ164" i="11"/>
  <c r="AO164" i="11"/>
  <c r="AM164" i="11"/>
  <c r="AL164" i="11"/>
  <c r="AK164" i="11"/>
  <c r="AJ164" i="11"/>
  <c r="AG164" i="11"/>
  <c r="AF164" i="11"/>
  <c r="AE164" i="11"/>
  <c r="Z164" i="11"/>
  <c r="W164" i="11"/>
  <c r="T164" i="11"/>
  <c r="S164" i="11"/>
  <c r="R164" i="11"/>
  <c r="P164" i="11"/>
  <c r="O164" i="11"/>
  <c r="K164" i="11"/>
  <c r="J164" i="11"/>
  <c r="G164" i="11"/>
  <c r="AM163" i="11"/>
  <c r="AL163" i="11"/>
  <c r="AK163" i="11"/>
  <c r="AJ163" i="11"/>
  <c r="Z163" i="11"/>
  <c r="W163" i="11"/>
  <c r="T163" i="11"/>
  <c r="S163" i="11"/>
  <c r="R163" i="11"/>
  <c r="P163" i="11"/>
  <c r="O163" i="11"/>
  <c r="K163" i="11"/>
  <c r="J163" i="11"/>
  <c r="G163" i="11"/>
  <c r="AM162" i="11"/>
  <c r="AL162" i="11"/>
  <c r="AK162" i="11"/>
  <c r="AJ162" i="11"/>
  <c r="Z162" i="11"/>
  <c r="W162" i="11"/>
  <c r="T162" i="11"/>
  <c r="S162" i="11"/>
  <c r="R162" i="11"/>
  <c r="P162" i="11"/>
  <c r="O162" i="11"/>
  <c r="K162" i="11"/>
  <c r="J162" i="11"/>
  <c r="G162" i="11"/>
  <c r="AU161" i="11"/>
  <c r="AT161" i="11"/>
  <c r="AS161" i="11"/>
  <c r="AQ161" i="11"/>
  <c r="AO161" i="11"/>
  <c r="AM161" i="11"/>
  <c r="AL161" i="11"/>
  <c r="AK161" i="11"/>
  <c r="AJ161" i="11"/>
  <c r="AG161" i="11"/>
  <c r="AF161" i="11"/>
  <c r="AE161" i="11"/>
  <c r="Z161" i="11"/>
  <c r="W161" i="11"/>
  <c r="T161" i="11"/>
  <c r="S161" i="11"/>
  <c r="R161" i="11"/>
  <c r="P161" i="11"/>
  <c r="O161" i="11"/>
  <c r="K161" i="11"/>
  <c r="J161" i="11"/>
  <c r="G161" i="11"/>
  <c r="AM160" i="11"/>
  <c r="AL160" i="11"/>
  <c r="AK160" i="11"/>
  <c r="AJ160" i="11"/>
  <c r="AC160" i="11"/>
  <c r="Z160" i="11"/>
  <c r="W160" i="11"/>
  <c r="K160" i="11"/>
  <c r="J160" i="11"/>
  <c r="G160" i="11"/>
  <c r="AM159" i="11"/>
  <c r="AL159" i="11"/>
  <c r="AK159" i="11"/>
  <c r="AJ159" i="11"/>
  <c r="AC159" i="11"/>
  <c r="Z159" i="11"/>
  <c r="W159" i="11"/>
  <c r="K159" i="11"/>
  <c r="J159" i="11"/>
  <c r="G159" i="11"/>
  <c r="AU158" i="11"/>
  <c r="AT158" i="11"/>
  <c r="AS158" i="11"/>
  <c r="AQ158" i="11"/>
  <c r="AO158" i="11"/>
  <c r="AM158" i="11"/>
  <c r="AL158" i="11"/>
  <c r="AK158" i="11"/>
  <c r="AJ158" i="11"/>
  <c r="AG158" i="11"/>
  <c r="AF158" i="11"/>
  <c r="AE158" i="11"/>
  <c r="AC158" i="11"/>
  <c r="Z158" i="11"/>
  <c r="W158" i="11"/>
  <c r="K158" i="11"/>
  <c r="J158" i="11"/>
  <c r="G158" i="11"/>
  <c r="Z157" i="11"/>
  <c r="W157" i="11"/>
  <c r="K157" i="11"/>
  <c r="J157" i="11"/>
  <c r="G157" i="11"/>
  <c r="Z156" i="11"/>
  <c r="W156" i="11"/>
  <c r="K156" i="11"/>
  <c r="J156" i="11"/>
  <c r="G156" i="11"/>
  <c r="Z155" i="11"/>
  <c r="W155" i="11"/>
  <c r="K155" i="11"/>
  <c r="J155" i="11"/>
  <c r="G155" i="11"/>
  <c r="AM154" i="11"/>
  <c r="AL154" i="11"/>
  <c r="AK154" i="11"/>
  <c r="AJ154" i="11"/>
  <c r="Z154" i="11"/>
  <c r="W154" i="11"/>
  <c r="K154" i="11"/>
  <c r="J154" i="11"/>
  <c r="G154" i="11"/>
  <c r="AM153" i="11"/>
  <c r="AL153" i="11"/>
  <c r="AK153" i="11"/>
  <c r="AJ153" i="11"/>
  <c r="Z153" i="11"/>
  <c r="W153" i="11"/>
  <c r="K153" i="11"/>
  <c r="J153" i="11"/>
  <c r="G153" i="11"/>
  <c r="AU152" i="11"/>
  <c r="AT152" i="11"/>
  <c r="AS152" i="11"/>
  <c r="AQ152" i="11"/>
  <c r="AO152" i="11"/>
  <c r="AM152" i="11"/>
  <c r="AL152" i="11"/>
  <c r="AK152" i="11"/>
  <c r="AJ152" i="11"/>
  <c r="AG152" i="11"/>
  <c r="AF152" i="11"/>
  <c r="AE152" i="11"/>
  <c r="Z152" i="11"/>
  <c r="W152" i="11"/>
  <c r="K152" i="11"/>
  <c r="J152" i="11"/>
  <c r="G152" i="11"/>
  <c r="AM151" i="11"/>
  <c r="AL151" i="11"/>
  <c r="AK151" i="11"/>
  <c r="AJ151" i="11"/>
  <c r="Z151" i="11"/>
  <c r="W151" i="11"/>
  <c r="K151" i="11"/>
  <c r="J151" i="11"/>
  <c r="G151" i="11"/>
  <c r="AM150" i="11"/>
  <c r="AL150" i="11"/>
  <c r="AK150" i="11"/>
  <c r="AJ150" i="11"/>
  <c r="Z150" i="11"/>
  <c r="W150" i="11"/>
  <c r="K150" i="11"/>
  <c r="J150" i="11"/>
  <c r="G150" i="11"/>
  <c r="AU149" i="11"/>
  <c r="AT149" i="11"/>
  <c r="AS149" i="11"/>
  <c r="AQ149" i="11"/>
  <c r="AO149" i="11"/>
  <c r="AM149" i="11"/>
  <c r="AL149" i="11"/>
  <c r="AK149" i="11"/>
  <c r="AJ149" i="11"/>
  <c r="AG149" i="11"/>
  <c r="AF149" i="11"/>
  <c r="AE149" i="11"/>
  <c r="Z149" i="11"/>
  <c r="W149" i="11"/>
  <c r="K149" i="11"/>
  <c r="J149" i="11"/>
  <c r="G149" i="11"/>
  <c r="AM148" i="11"/>
  <c r="AL148" i="11"/>
  <c r="AK148" i="11"/>
  <c r="AJ148" i="11"/>
  <c r="Z148" i="11"/>
  <c r="W148" i="11"/>
  <c r="K148" i="11"/>
  <c r="J148" i="11"/>
  <c r="G148" i="11"/>
  <c r="AM147" i="11"/>
  <c r="AL147" i="11"/>
  <c r="AK147" i="11"/>
  <c r="AJ147" i="11"/>
  <c r="AB147" i="11"/>
  <c r="Z147" i="11"/>
  <c r="W147" i="11"/>
  <c r="K147" i="11"/>
  <c r="J147" i="11"/>
  <c r="G147" i="11"/>
  <c r="AM146" i="11"/>
  <c r="AL146" i="11"/>
  <c r="AK146" i="11"/>
  <c r="AJ146" i="11"/>
  <c r="AB146" i="11"/>
  <c r="Z146" i="11"/>
  <c r="W146" i="11"/>
  <c r="K146" i="11"/>
  <c r="J146" i="11"/>
  <c r="G146" i="11"/>
  <c r="AM145" i="11"/>
  <c r="AL145" i="11"/>
  <c r="AK145" i="11"/>
  <c r="AJ145" i="11"/>
  <c r="AB145" i="11"/>
  <c r="Z145" i="11"/>
  <c r="W145" i="11"/>
  <c r="K145" i="11"/>
  <c r="J145" i="11"/>
  <c r="G145" i="11"/>
  <c r="AM144" i="11"/>
  <c r="AL144" i="11"/>
  <c r="AK144" i="11"/>
  <c r="AJ144" i="11"/>
  <c r="AB144" i="11"/>
  <c r="Z144" i="11"/>
  <c r="W144" i="11"/>
  <c r="K144" i="11"/>
  <c r="J144" i="11"/>
  <c r="G144" i="11"/>
  <c r="AU143" i="11"/>
  <c r="AT143" i="11"/>
  <c r="AS143" i="11"/>
  <c r="AQ143" i="11"/>
  <c r="AO143" i="11"/>
  <c r="AM143" i="11"/>
  <c r="AL143" i="11"/>
  <c r="AK143" i="11"/>
  <c r="AJ143" i="11"/>
  <c r="AG143" i="11"/>
  <c r="AF143" i="11"/>
  <c r="AE143" i="11"/>
  <c r="Z143" i="11"/>
  <c r="W143" i="11"/>
  <c r="K143" i="11"/>
  <c r="J143" i="11"/>
  <c r="G143" i="11"/>
  <c r="AM142" i="11"/>
  <c r="AL142" i="11"/>
  <c r="AK142" i="11"/>
  <c r="AJ142" i="11"/>
  <c r="Z142" i="11"/>
  <c r="W142" i="11"/>
  <c r="K142" i="11"/>
  <c r="J142" i="11"/>
  <c r="G142" i="11"/>
  <c r="AM141" i="11"/>
  <c r="AL141" i="11"/>
  <c r="AK141" i="11"/>
  <c r="AJ141" i="11"/>
  <c r="AB141" i="11"/>
  <c r="Z141" i="11"/>
  <c r="W141" i="11"/>
  <c r="K141" i="11"/>
  <c r="J141" i="11"/>
  <c r="G141" i="11"/>
  <c r="AM140" i="11"/>
  <c r="AL140" i="11"/>
  <c r="AK140" i="11"/>
  <c r="AJ140" i="11"/>
  <c r="AB140" i="11"/>
  <c r="Z140" i="11"/>
  <c r="W140" i="11"/>
  <c r="K140" i="11"/>
  <c r="J140" i="11"/>
  <c r="G140" i="11"/>
  <c r="AM139" i="11"/>
  <c r="AL139" i="11"/>
  <c r="AK139" i="11"/>
  <c r="AJ139" i="11"/>
  <c r="AB139" i="11"/>
  <c r="Z139" i="11"/>
  <c r="W139" i="11"/>
  <c r="K139" i="11"/>
  <c r="J139" i="11"/>
  <c r="G139" i="11"/>
  <c r="AM138" i="11"/>
  <c r="AL138" i="11"/>
  <c r="AK138" i="11"/>
  <c r="AJ138" i="11"/>
  <c r="AB138" i="11"/>
  <c r="Z138" i="11"/>
  <c r="W138" i="11"/>
  <c r="K138" i="11"/>
  <c r="J138" i="11"/>
  <c r="G138" i="11"/>
  <c r="AU137" i="11"/>
  <c r="AT137" i="11"/>
  <c r="AS137" i="11"/>
  <c r="AQ137" i="11"/>
  <c r="AO137" i="11"/>
  <c r="AM137" i="11"/>
  <c r="AL137" i="11"/>
  <c r="AK137" i="11"/>
  <c r="AJ137" i="11"/>
  <c r="AG137" i="11"/>
  <c r="AF137" i="11"/>
  <c r="AE137" i="11"/>
  <c r="Z137" i="11"/>
  <c r="W137" i="11"/>
  <c r="K137" i="11"/>
  <c r="J137" i="11"/>
  <c r="G137" i="11"/>
  <c r="AM136" i="11"/>
  <c r="AL136" i="11"/>
  <c r="AK136" i="11"/>
  <c r="AJ136" i="11"/>
  <c r="Z136" i="11"/>
  <c r="W136" i="11"/>
  <c r="K136" i="11"/>
  <c r="J136" i="11"/>
  <c r="G136" i="11"/>
  <c r="AM135" i="11"/>
  <c r="AL135" i="11"/>
  <c r="AK135" i="11"/>
  <c r="AJ135" i="11"/>
  <c r="Z135" i="11"/>
  <c r="W135" i="11"/>
  <c r="K135" i="11"/>
  <c r="J135" i="11"/>
  <c r="G135" i="11"/>
  <c r="AU134" i="11"/>
  <c r="AT134" i="11"/>
  <c r="AS134" i="11"/>
  <c r="AQ134" i="11"/>
  <c r="AO134" i="11"/>
  <c r="AM134" i="11"/>
  <c r="AL134" i="11"/>
  <c r="AK134" i="11"/>
  <c r="AJ134" i="11"/>
  <c r="AG134" i="11"/>
  <c r="AF134" i="11"/>
  <c r="AE134" i="11"/>
  <c r="Z134" i="11"/>
  <c r="W134" i="11"/>
  <c r="K134" i="11"/>
  <c r="J134" i="11"/>
  <c r="G134" i="11"/>
  <c r="AM133" i="11"/>
  <c r="AL133" i="11"/>
  <c r="AK133" i="11"/>
  <c r="AJ133" i="11"/>
  <c r="Z133" i="11"/>
  <c r="W133" i="11"/>
  <c r="K133" i="11"/>
  <c r="J133" i="11"/>
  <c r="G133" i="11"/>
  <c r="AM132" i="11"/>
  <c r="AL132" i="11"/>
  <c r="AK132" i="11"/>
  <c r="AJ132" i="11"/>
  <c r="AB132" i="11"/>
  <c r="Z132" i="11"/>
  <c r="W132" i="11"/>
  <c r="K132" i="11"/>
  <c r="J132" i="11"/>
  <c r="G132" i="11"/>
  <c r="AM131" i="11"/>
  <c r="AL131" i="11"/>
  <c r="AK131" i="11"/>
  <c r="AJ131" i="11"/>
  <c r="AB131" i="11"/>
  <c r="Z131" i="11"/>
  <c r="W131" i="11"/>
  <c r="K131" i="11"/>
  <c r="J131" i="11"/>
  <c r="G131" i="11"/>
  <c r="AM130" i="11"/>
  <c r="AL130" i="11"/>
  <c r="AK130" i="11"/>
  <c r="AJ130" i="11"/>
  <c r="AB130" i="11"/>
  <c r="Z130" i="11"/>
  <c r="W130" i="11"/>
  <c r="K130" i="11"/>
  <c r="J130" i="11"/>
  <c r="G130" i="11"/>
  <c r="AM129" i="11"/>
  <c r="AL129" i="11"/>
  <c r="AK129" i="11"/>
  <c r="AJ129" i="11"/>
  <c r="AB129" i="11"/>
  <c r="Z129" i="11"/>
  <c r="W129" i="11"/>
  <c r="K129" i="11"/>
  <c r="J129" i="11"/>
  <c r="G129" i="11"/>
  <c r="AU128" i="11"/>
  <c r="AT128" i="11"/>
  <c r="AS128" i="11"/>
  <c r="AQ128" i="11"/>
  <c r="AO128" i="11"/>
  <c r="AM128" i="11"/>
  <c r="AL128" i="11"/>
  <c r="AK128" i="11"/>
  <c r="AJ128" i="11"/>
  <c r="AG128" i="11"/>
  <c r="AF128" i="11"/>
  <c r="AE128" i="11"/>
  <c r="Z128" i="11"/>
  <c r="W128" i="11"/>
  <c r="K128" i="11"/>
  <c r="J128" i="11"/>
  <c r="G128" i="11"/>
  <c r="AM127" i="11"/>
  <c r="AL127" i="11"/>
  <c r="AK127" i="11"/>
  <c r="AJ127" i="11"/>
  <c r="Z127" i="11"/>
  <c r="W127" i="11"/>
  <c r="K127" i="11"/>
  <c r="J127" i="11"/>
  <c r="G127" i="11"/>
  <c r="AM126" i="11"/>
  <c r="AL126" i="11"/>
  <c r="AK126" i="11"/>
  <c r="AJ126" i="11"/>
  <c r="Z126" i="11"/>
  <c r="W126" i="11"/>
  <c r="K126" i="11"/>
  <c r="J126" i="11"/>
  <c r="G126" i="11"/>
  <c r="AU125" i="11"/>
  <c r="AT125" i="11"/>
  <c r="AS125" i="11"/>
  <c r="AQ125" i="11"/>
  <c r="AO125" i="11"/>
  <c r="AM125" i="11"/>
  <c r="AL125" i="11"/>
  <c r="AK125" i="11"/>
  <c r="AJ125" i="11"/>
  <c r="AG125" i="11"/>
  <c r="AF125" i="11"/>
  <c r="AE125" i="11"/>
  <c r="Z125" i="11"/>
  <c r="W125" i="11"/>
  <c r="K125" i="11"/>
  <c r="J125" i="11"/>
  <c r="G125" i="11"/>
  <c r="AM124" i="11"/>
  <c r="AL124" i="11"/>
  <c r="AK124" i="11"/>
  <c r="AJ124" i="11"/>
  <c r="Z124" i="11"/>
  <c r="W124" i="11"/>
  <c r="K124" i="11"/>
  <c r="J124" i="11"/>
  <c r="G124" i="11"/>
  <c r="AM123" i="11"/>
  <c r="AL123" i="11"/>
  <c r="AK123" i="11"/>
  <c r="AJ123" i="11"/>
  <c r="Z123" i="11"/>
  <c r="W123" i="11"/>
  <c r="K123" i="11"/>
  <c r="J123" i="11"/>
  <c r="G123" i="11"/>
  <c r="AM122" i="11"/>
  <c r="AL122" i="11"/>
  <c r="AK122" i="11"/>
  <c r="AJ122" i="11"/>
  <c r="Z122" i="11"/>
  <c r="W122" i="11"/>
  <c r="K122" i="11"/>
  <c r="J122" i="11"/>
  <c r="G122" i="11"/>
  <c r="AU121" i="11"/>
  <c r="AT121" i="11"/>
  <c r="AS121" i="11"/>
  <c r="AQ121" i="11"/>
  <c r="AO121" i="11"/>
  <c r="AM121" i="11"/>
  <c r="AL121" i="11"/>
  <c r="AK121" i="11"/>
  <c r="AJ121" i="11"/>
  <c r="AG121" i="11"/>
  <c r="AF121" i="11"/>
  <c r="AE121" i="11"/>
  <c r="Z121" i="11"/>
  <c r="W121" i="11"/>
  <c r="K121" i="11"/>
  <c r="J121" i="11"/>
  <c r="G121" i="11"/>
  <c r="AM120" i="11"/>
  <c r="AL120" i="11"/>
  <c r="AK120" i="11"/>
  <c r="AJ120" i="11"/>
  <c r="Z120" i="11"/>
  <c r="W120" i="11"/>
  <c r="K120" i="11"/>
  <c r="J120" i="11"/>
  <c r="G120" i="11"/>
  <c r="AM119" i="11"/>
  <c r="AL119" i="11"/>
  <c r="AK119" i="11"/>
  <c r="AJ119" i="11"/>
  <c r="Z119" i="11"/>
  <c r="W119" i="11"/>
  <c r="K119" i="11"/>
  <c r="J119" i="11"/>
  <c r="G119" i="11"/>
  <c r="AU118" i="11"/>
  <c r="AT118" i="11"/>
  <c r="AS118" i="11"/>
  <c r="AQ118" i="11"/>
  <c r="AO118" i="11"/>
  <c r="AM118" i="11"/>
  <c r="AL118" i="11"/>
  <c r="AK118" i="11"/>
  <c r="AJ118" i="11"/>
  <c r="AG118" i="11"/>
  <c r="AF118" i="11"/>
  <c r="AE118" i="11"/>
  <c r="Z118" i="11"/>
  <c r="W118" i="11"/>
  <c r="K118" i="11"/>
  <c r="J118" i="11"/>
  <c r="G118" i="11"/>
  <c r="AM117" i="11"/>
  <c r="AL117" i="11"/>
  <c r="AK117" i="11"/>
  <c r="AJ117" i="11"/>
  <c r="Z117" i="11"/>
  <c r="W117" i="11"/>
  <c r="K117" i="11"/>
  <c r="J117" i="11"/>
  <c r="G117" i="11"/>
  <c r="AM116" i="11"/>
  <c r="AL116" i="11"/>
  <c r="AK116" i="11"/>
  <c r="AJ116" i="11"/>
  <c r="Z116" i="11"/>
  <c r="W116" i="11"/>
  <c r="K116" i="11"/>
  <c r="J116" i="11"/>
  <c r="G116" i="11"/>
  <c r="AU115" i="11"/>
  <c r="AT115" i="11"/>
  <c r="AS115" i="11"/>
  <c r="AQ115" i="11"/>
  <c r="AO115" i="11"/>
  <c r="AM115" i="11"/>
  <c r="AL115" i="11"/>
  <c r="AK115" i="11"/>
  <c r="AJ115" i="11"/>
  <c r="AG115" i="11"/>
  <c r="AF115" i="11"/>
  <c r="AE115" i="11"/>
  <c r="Z115" i="11"/>
  <c r="W115" i="11"/>
  <c r="K115" i="11"/>
  <c r="J115" i="11"/>
  <c r="G115" i="11"/>
  <c r="AM114" i="11"/>
  <c r="AL114" i="11"/>
  <c r="AK114" i="11"/>
  <c r="AJ114" i="11"/>
  <c r="AB114" i="11"/>
  <c r="Z114" i="11"/>
  <c r="W114" i="11"/>
  <c r="K114" i="11"/>
  <c r="J114" i="11"/>
  <c r="G114" i="11"/>
  <c r="AM113" i="11"/>
  <c r="AL113" i="11"/>
  <c r="AK113" i="11"/>
  <c r="AJ113" i="11"/>
  <c r="AB113" i="11"/>
  <c r="Z113" i="11"/>
  <c r="W113" i="11"/>
  <c r="K113" i="11"/>
  <c r="J113" i="11"/>
  <c r="G113" i="11"/>
  <c r="AM112" i="11"/>
  <c r="AL112" i="11"/>
  <c r="AK112" i="11"/>
  <c r="AJ112" i="11"/>
  <c r="AB112" i="11"/>
  <c r="Z112" i="11"/>
  <c r="W112" i="11"/>
  <c r="K112" i="11"/>
  <c r="J112" i="11"/>
  <c r="G112" i="11"/>
  <c r="AM111" i="11"/>
  <c r="AL111" i="11"/>
  <c r="AK111" i="11"/>
  <c r="AJ111" i="11"/>
  <c r="AB111" i="11"/>
  <c r="Z111" i="11"/>
  <c r="W111" i="11"/>
  <c r="K111" i="11"/>
  <c r="J111" i="11"/>
  <c r="G111" i="11"/>
  <c r="AM110" i="11"/>
  <c r="AL110" i="11"/>
  <c r="AK110" i="11"/>
  <c r="AJ110" i="11"/>
  <c r="AB110" i="11"/>
  <c r="Z110" i="11"/>
  <c r="W110" i="11"/>
  <c r="K110" i="11"/>
  <c r="J110" i="11"/>
  <c r="G110" i="11"/>
  <c r="AU109" i="11"/>
  <c r="AT109" i="11"/>
  <c r="AS109" i="11"/>
  <c r="AQ109" i="11"/>
  <c r="AO109" i="11"/>
  <c r="AM109" i="11"/>
  <c r="AL109" i="11"/>
  <c r="AK109" i="11"/>
  <c r="AJ109" i="11"/>
  <c r="AG109" i="11"/>
  <c r="AF109" i="11"/>
  <c r="AE109" i="11"/>
  <c r="AB109" i="11"/>
  <c r="Z109" i="11"/>
  <c r="W109" i="11"/>
  <c r="K109" i="11"/>
  <c r="J109" i="11"/>
  <c r="G109" i="11"/>
  <c r="AM108" i="11"/>
  <c r="AL108" i="11"/>
  <c r="AK108" i="11"/>
  <c r="AJ108" i="11"/>
  <c r="Z108" i="11"/>
  <c r="W108" i="11"/>
  <c r="K108" i="11"/>
  <c r="J108" i="11"/>
  <c r="G108" i="11"/>
  <c r="AM107" i="11"/>
  <c r="AL107" i="11"/>
  <c r="AK107" i="11"/>
  <c r="AJ107" i="11"/>
  <c r="Z107" i="11"/>
  <c r="W107" i="11"/>
  <c r="K107" i="11"/>
  <c r="J107" i="11"/>
  <c r="G107" i="11"/>
  <c r="AU106" i="11"/>
  <c r="AT106" i="11"/>
  <c r="AS106" i="11"/>
  <c r="AQ106" i="11"/>
  <c r="AO106" i="11"/>
  <c r="AM106" i="11"/>
  <c r="AL106" i="11"/>
  <c r="AK106" i="11"/>
  <c r="AJ106" i="11"/>
  <c r="AG106" i="11"/>
  <c r="AF106" i="11"/>
  <c r="AE106" i="11"/>
  <c r="Z106" i="11"/>
  <c r="W106" i="11"/>
  <c r="K106" i="11"/>
  <c r="J106" i="11"/>
  <c r="G106" i="11"/>
  <c r="AM105" i="11"/>
  <c r="AL105" i="11"/>
  <c r="AK105" i="11"/>
  <c r="AJ105" i="11"/>
  <c r="Z105" i="11"/>
  <c r="W105" i="11"/>
  <c r="K105" i="11"/>
  <c r="J105" i="11"/>
  <c r="G105" i="11"/>
  <c r="AM104" i="11"/>
  <c r="AL104" i="11"/>
  <c r="AK104" i="11"/>
  <c r="AJ104" i="11"/>
  <c r="Z104" i="11"/>
  <c r="W104" i="11"/>
  <c r="K104" i="11"/>
  <c r="J104" i="11"/>
  <c r="G104" i="11"/>
  <c r="AU103" i="11"/>
  <c r="AT103" i="11"/>
  <c r="AS103" i="11"/>
  <c r="AQ103" i="11"/>
  <c r="AO103" i="11"/>
  <c r="AM103" i="11"/>
  <c r="AL103" i="11"/>
  <c r="AK103" i="11"/>
  <c r="AJ103" i="11"/>
  <c r="AG103" i="11"/>
  <c r="AF103" i="11"/>
  <c r="AE103" i="11"/>
  <c r="Z103" i="11"/>
  <c r="W103" i="11"/>
  <c r="K103" i="11"/>
  <c r="J103" i="11"/>
  <c r="G103" i="11"/>
  <c r="AM102" i="11"/>
  <c r="AL102" i="11"/>
  <c r="AK102" i="11"/>
  <c r="AJ102" i="11"/>
  <c r="Z102" i="11"/>
  <c r="W102" i="11"/>
  <c r="K102" i="11"/>
  <c r="J102" i="11"/>
  <c r="G102" i="11"/>
  <c r="AM101" i="11"/>
  <c r="AL101" i="11"/>
  <c r="AK101" i="11"/>
  <c r="AJ101" i="11"/>
  <c r="Z101" i="11"/>
  <c r="W101" i="11"/>
  <c r="K101" i="11"/>
  <c r="J101" i="11"/>
  <c r="G101" i="11"/>
  <c r="AU100" i="11"/>
  <c r="AT100" i="11"/>
  <c r="AS100" i="11"/>
  <c r="AQ100" i="11"/>
  <c r="AO100" i="11"/>
  <c r="AM100" i="11"/>
  <c r="AL100" i="11"/>
  <c r="AK100" i="11"/>
  <c r="AJ100" i="11"/>
  <c r="AG100" i="11"/>
  <c r="AF100" i="11"/>
  <c r="AE100" i="11"/>
  <c r="Z100" i="11"/>
  <c r="W100" i="11"/>
  <c r="K100" i="11"/>
  <c r="J100" i="11"/>
  <c r="G100" i="11"/>
  <c r="AM99" i="11"/>
  <c r="AL99" i="11"/>
  <c r="AK99" i="11"/>
  <c r="AJ99" i="11"/>
  <c r="Z99" i="11"/>
  <c r="W99" i="11"/>
  <c r="K99" i="11"/>
  <c r="J99" i="11"/>
  <c r="G99" i="11"/>
  <c r="AM98" i="11"/>
  <c r="AL98" i="11"/>
  <c r="AK98" i="11"/>
  <c r="AJ98" i="11"/>
  <c r="Z98" i="11"/>
  <c r="W98" i="11"/>
  <c r="K98" i="11"/>
  <c r="J98" i="11"/>
  <c r="G98" i="11"/>
  <c r="AU97" i="11"/>
  <c r="AT97" i="11"/>
  <c r="AS97" i="11"/>
  <c r="AQ97" i="11"/>
  <c r="AO97" i="11"/>
  <c r="AM97" i="11"/>
  <c r="AL97" i="11"/>
  <c r="AK97" i="11"/>
  <c r="AJ97" i="11"/>
  <c r="AG97" i="11"/>
  <c r="AF97" i="11"/>
  <c r="AE97" i="11"/>
  <c r="Z97" i="11"/>
  <c r="W97" i="11"/>
  <c r="K97" i="11"/>
  <c r="J97" i="11"/>
  <c r="G97" i="11"/>
  <c r="AM96" i="11"/>
  <c r="AL96" i="11"/>
  <c r="AK96" i="11"/>
  <c r="AJ96" i="11"/>
  <c r="Z96" i="11"/>
  <c r="W96" i="11"/>
  <c r="K96" i="11"/>
  <c r="J96" i="11"/>
  <c r="G96" i="11"/>
  <c r="AM95" i="11"/>
  <c r="AL95" i="11"/>
  <c r="AK95" i="11"/>
  <c r="AJ95" i="11"/>
  <c r="Z95" i="11"/>
  <c r="W95" i="11"/>
  <c r="K95" i="11"/>
  <c r="J95" i="11"/>
  <c r="G95" i="11"/>
  <c r="AU94" i="11"/>
  <c r="AT94" i="11"/>
  <c r="AS94" i="11"/>
  <c r="AQ94" i="11"/>
  <c r="AO94" i="11"/>
  <c r="AM94" i="11"/>
  <c r="AL94" i="11"/>
  <c r="AK94" i="11"/>
  <c r="AJ94" i="11"/>
  <c r="AG94" i="11"/>
  <c r="AF94" i="11"/>
  <c r="AE94" i="11"/>
  <c r="Z94" i="11"/>
  <c r="W94" i="11"/>
  <c r="K94" i="11"/>
  <c r="J94" i="11"/>
  <c r="G94" i="11"/>
  <c r="AM93" i="11"/>
  <c r="AL93" i="11"/>
  <c r="AK93" i="11"/>
  <c r="AJ93" i="11"/>
  <c r="Z93" i="11"/>
  <c r="W93" i="11"/>
  <c r="K93" i="11"/>
  <c r="J93" i="11"/>
  <c r="G93" i="11"/>
  <c r="AM92" i="11"/>
  <c r="AL92" i="11"/>
  <c r="AK92" i="11"/>
  <c r="AJ92" i="11"/>
  <c r="Z92" i="11"/>
  <c r="W92" i="11"/>
  <c r="K92" i="11"/>
  <c r="J92" i="11"/>
  <c r="G92" i="11"/>
  <c r="AU91" i="11"/>
  <c r="AT91" i="11"/>
  <c r="AS91" i="11"/>
  <c r="AQ91" i="11"/>
  <c r="AO91" i="11"/>
  <c r="AM91" i="11"/>
  <c r="AL91" i="11"/>
  <c r="AK91" i="11"/>
  <c r="AJ91" i="11"/>
  <c r="AG91" i="11"/>
  <c r="AF91" i="11"/>
  <c r="AE91" i="11"/>
  <c r="Z91" i="11"/>
  <c r="W91" i="11"/>
  <c r="K91" i="11"/>
  <c r="J91" i="11"/>
  <c r="G91" i="11"/>
  <c r="AM90" i="11"/>
  <c r="AL90" i="11"/>
  <c r="AK90" i="11"/>
  <c r="AJ90" i="11"/>
  <c r="Z90" i="11"/>
  <c r="W90" i="11"/>
  <c r="K90" i="11"/>
  <c r="J90" i="11"/>
  <c r="G90" i="11"/>
  <c r="AM89" i="11"/>
  <c r="AL89" i="11"/>
  <c r="AK89" i="11"/>
  <c r="AJ89" i="11"/>
  <c r="Z89" i="11"/>
  <c r="W89" i="11"/>
  <c r="K89" i="11"/>
  <c r="J89" i="11"/>
  <c r="G89" i="11"/>
  <c r="AU88" i="11"/>
  <c r="AT88" i="11"/>
  <c r="AS88" i="11"/>
  <c r="AQ88" i="11"/>
  <c r="AO88" i="11"/>
  <c r="AM88" i="11"/>
  <c r="AL88" i="11"/>
  <c r="AK88" i="11"/>
  <c r="AJ88" i="11"/>
  <c r="AG88" i="11"/>
  <c r="AF88" i="11"/>
  <c r="AE88" i="11"/>
  <c r="Z88" i="11"/>
  <c r="W88" i="11"/>
  <c r="K88" i="11"/>
  <c r="J88" i="11"/>
  <c r="G88" i="11"/>
  <c r="AM87" i="11"/>
  <c r="AL87" i="11"/>
  <c r="AK87" i="11"/>
  <c r="AJ87" i="11"/>
  <c r="Z87" i="11"/>
  <c r="W87" i="11"/>
  <c r="K87" i="11"/>
  <c r="J87" i="11"/>
  <c r="G87" i="11"/>
  <c r="AM86" i="11"/>
  <c r="AL86" i="11"/>
  <c r="AK86" i="11"/>
  <c r="AJ86" i="11"/>
  <c r="Z86" i="11"/>
  <c r="W86" i="11"/>
  <c r="K86" i="11"/>
  <c r="J86" i="11"/>
  <c r="G86" i="11"/>
  <c r="AU85" i="11"/>
  <c r="AT85" i="11"/>
  <c r="AS85" i="11"/>
  <c r="AQ85" i="11"/>
  <c r="AO85" i="11"/>
  <c r="AM85" i="11"/>
  <c r="AL85" i="11"/>
  <c r="AK85" i="11"/>
  <c r="AJ85" i="11"/>
  <c r="AG85" i="11"/>
  <c r="AF85" i="11"/>
  <c r="AE85" i="11"/>
  <c r="Z85" i="11"/>
  <c r="W85" i="11"/>
  <c r="K85" i="11"/>
  <c r="J85" i="11"/>
  <c r="G85" i="11"/>
  <c r="AM84" i="11"/>
  <c r="AL84" i="11"/>
  <c r="AK84" i="11"/>
  <c r="AJ84" i="11"/>
  <c r="Z84" i="11"/>
  <c r="W84" i="11"/>
  <c r="K84" i="11"/>
  <c r="J84" i="11"/>
  <c r="G84" i="11"/>
  <c r="AM83" i="11"/>
  <c r="AL83" i="11"/>
  <c r="AK83" i="11"/>
  <c r="AJ83" i="11"/>
  <c r="Z83" i="11"/>
  <c r="W83" i="11"/>
  <c r="K83" i="11"/>
  <c r="J83" i="11"/>
  <c r="G83" i="11"/>
  <c r="AU82" i="11"/>
  <c r="AT82" i="11"/>
  <c r="AS82" i="11"/>
  <c r="AQ82" i="11"/>
  <c r="AO82" i="11"/>
  <c r="AM82" i="11"/>
  <c r="AL82" i="11"/>
  <c r="AK82" i="11"/>
  <c r="AJ82" i="11"/>
  <c r="AG82" i="11"/>
  <c r="AF82" i="11"/>
  <c r="AE82" i="11"/>
  <c r="Z82" i="11"/>
  <c r="W82" i="11"/>
  <c r="K82" i="11"/>
  <c r="J82" i="11"/>
  <c r="G82" i="11"/>
  <c r="AM81" i="11"/>
  <c r="AL81" i="11"/>
  <c r="AK81" i="11"/>
  <c r="AJ81" i="11"/>
  <c r="AB81" i="11"/>
  <c r="Z81" i="11"/>
  <c r="W81" i="11"/>
  <c r="K81" i="11"/>
  <c r="J81" i="11"/>
  <c r="G81" i="11"/>
  <c r="AM80" i="11"/>
  <c r="AL80" i="11"/>
  <c r="AK80" i="11"/>
  <c r="AJ80" i="11"/>
  <c r="AB80" i="11"/>
  <c r="Z80" i="11"/>
  <c r="W80" i="11"/>
  <c r="K80" i="11"/>
  <c r="J80" i="11"/>
  <c r="G80" i="11"/>
  <c r="AM79" i="11"/>
  <c r="AL79" i="11"/>
  <c r="AK79" i="11"/>
  <c r="AJ79" i="11"/>
  <c r="AB79" i="11"/>
  <c r="Z79" i="11"/>
  <c r="W79" i="11"/>
  <c r="K79" i="11"/>
  <c r="J79" i="11"/>
  <c r="G79" i="11"/>
  <c r="AM78" i="11"/>
  <c r="AL78" i="11"/>
  <c r="AK78" i="11"/>
  <c r="AJ78" i="11"/>
  <c r="AB78" i="11"/>
  <c r="Z78" i="11"/>
  <c r="W78" i="11"/>
  <c r="K78" i="11"/>
  <c r="J78" i="11"/>
  <c r="G78" i="11"/>
  <c r="AM77" i="11"/>
  <c r="AL77" i="11"/>
  <c r="AK77" i="11"/>
  <c r="AJ77" i="11"/>
  <c r="AB77" i="11"/>
  <c r="Z77" i="11"/>
  <c r="W77" i="11"/>
  <c r="K77" i="11"/>
  <c r="J77" i="11"/>
  <c r="G77" i="11"/>
  <c r="AU76" i="11"/>
  <c r="AT76" i="11"/>
  <c r="AS76" i="11"/>
  <c r="AQ76" i="11"/>
  <c r="AO76" i="11"/>
  <c r="AM76" i="11"/>
  <c r="AL76" i="11"/>
  <c r="AK76" i="11"/>
  <c r="AJ76" i="11"/>
  <c r="AG76" i="11"/>
  <c r="AF76" i="11"/>
  <c r="AE76" i="11"/>
  <c r="AB76" i="11"/>
  <c r="Z76" i="11"/>
  <c r="W76" i="11"/>
  <c r="K76" i="11"/>
  <c r="J76" i="11"/>
  <c r="G76" i="11"/>
  <c r="AM75" i="11"/>
  <c r="AL75" i="11"/>
  <c r="AK75" i="11"/>
  <c r="AJ75" i="11"/>
  <c r="Z75" i="11"/>
  <c r="W75" i="11"/>
  <c r="K75" i="11"/>
  <c r="J75" i="11"/>
  <c r="G75" i="11"/>
  <c r="AM74" i="11"/>
  <c r="AL74" i="11"/>
  <c r="AK74" i="11"/>
  <c r="AJ74" i="11"/>
  <c r="Z74" i="11"/>
  <c r="W74" i="11"/>
  <c r="K74" i="11"/>
  <c r="J74" i="11"/>
  <c r="G74" i="11"/>
  <c r="AU73" i="11"/>
  <c r="AT73" i="11"/>
  <c r="AS73" i="11"/>
  <c r="AQ73" i="11"/>
  <c r="AO73" i="11"/>
  <c r="AM73" i="11"/>
  <c r="AL73" i="11"/>
  <c r="AK73" i="11"/>
  <c r="AJ73" i="11"/>
  <c r="AG73" i="11"/>
  <c r="AF73" i="11"/>
  <c r="AE73" i="11"/>
  <c r="Z73" i="11"/>
  <c r="W73" i="11"/>
  <c r="K73" i="11"/>
  <c r="J73" i="11"/>
  <c r="G73" i="11"/>
  <c r="AM72" i="11"/>
  <c r="AL72" i="11"/>
  <c r="AK72" i="11"/>
  <c r="AJ72" i="11"/>
  <c r="Z72" i="11"/>
  <c r="W72" i="11"/>
  <c r="K72" i="11"/>
  <c r="J72" i="11"/>
  <c r="G72" i="11"/>
  <c r="AM71" i="11"/>
  <c r="AL71" i="11"/>
  <c r="AK71" i="11"/>
  <c r="AJ71" i="11"/>
  <c r="Z71" i="11"/>
  <c r="W71" i="11"/>
  <c r="K71" i="11"/>
  <c r="J71" i="11"/>
  <c r="G71" i="11"/>
  <c r="AM70" i="11"/>
  <c r="AL70" i="11"/>
  <c r="AK70" i="11"/>
  <c r="AJ70" i="11"/>
  <c r="Z70" i="11"/>
  <c r="W70" i="11"/>
  <c r="K70" i="11"/>
  <c r="J70" i="11"/>
  <c r="G70" i="11"/>
  <c r="AM69" i="11"/>
  <c r="AL69" i="11"/>
  <c r="AK69" i="11"/>
  <c r="AJ69" i="11"/>
  <c r="Z69" i="11"/>
  <c r="W69" i="11"/>
  <c r="K69" i="11"/>
  <c r="J69" i="11"/>
  <c r="G69" i="11"/>
  <c r="AM68" i="11"/>
  <c r="AL68" i="11"/>
  <c r="AK68" i="11"/>
  <c r="AJ68" i="11"/>
  <c r="Z68" i="11"/>
  <c r="W68" i="11"/>
  <c r="K68" i="11"/>
  <c r="J68" i="11"/>
  <c r="G68" i="11"/>
  <c r="AM67" i="11"/>
  <c r="AL67" i="11"/>
  <c r="AK67" i="11"/>
  <c r="AJ67" i="11"/>
  <c r="Z67" i="11"/>
  <c r="W67" i="11"/>
  <c r="K67" i="11"/>
  <c r="J67" i="11"/>
  <c r="G67" i="11"/>
  <c r="AU66" i="11"/>
  <c r="AT66" i="11"/>
  <c r="AS66" i="11"/>
  <c r="AQ66" i="11"/>
  <c r="AO66" i="11"/>
  <c r="AM66" i="11"/>
  <c r="AL66" i="11"/>
  <c r="AK66" i="11"/>
  <c r="AJ66" i="11"/>
  <c r="AG66" i="11"/>
  <c r="AF66" i="11"/>
  <c r="AE66" i="11"/>
  <c r="Z66" i="11"/>
  <c r="W66" i="11"/>
  <c r="K66" i="11"/>
  <c r="J66" i="11"/>
  <c r="G66" i="11"/>
  <c r="AM65" i="11"/>
  <c r="AL65" i="11"/>
  <c r="AK65" i="11"/>
  <c r="AJ65" i="11"/>
  <c r="Z65" i="11"/>
  <c r="W65" i="11"/>
  <c r="K65" i="11"/>
  <c r="J65" i="11"/>
  <c r="G65" i="11"/>
  <c r="AM64" i="11"/>
  <c r="AL64" i="11"/>
  <c r="AK64" i="11"/>
  <c r="AJ64" i="11"/>
  <c r="Z64" i="11"/>
  <c r="W64" i="11"/>
  <c r="K64" i="11"/>
  <c r="J64" i="11"/>
  <c r="G64" i="11"/>
  <c r="AU63" i="11"/>
  <c r="AT63" i="11"/>
  <c r="AS63" i="11"/>
  <c r="AQ63" i="11"/>
  <c r="AO63" i="11"/>
  <c r="AM63" i="11"/>
  <c r="AL63" i="11"/>
  <c r="AK63" i="11"/>
  <c r="AJ63" i="11"/>
  <c r="AG63" i="11"/>
  <c r="AF63" i="11"/>
  <c r="AE63" i="11"/>
  <c r="Z63" i="11"/>
  <c r="W63" i="11"/>
  <c r="K63" i="11"/>
  <c r="J63" i="11"/>
  <c r="G63" i="11"/>
  <c r="AM62" i="11"/>
  <c r="AL62" i="11"/>
  <c r="AK62" i="11"/>
  <c r="AJ62" i="11"/>
  <c r="AB62" i="11"/>
  <c r="Z62" i="11"/>
  <c r="W62" i="11"/>
  <c r="K62" i="11"/>
  <c r="J62" i="11"/>
  <c r="G62" i="11"/>
  <c r="AM61" i="11"/>
  <c r="AL61" i="11"/>
  <c r="AK61" i="11"/>
  <c r="AJ61" i="11"/>
  <c r="AB61" i="11"/>
  <c r="Z61" i="11"/>
  <c r="W61" i="11"/>
  <c r="K61" i="11"/>
  <c r="J61" i="11"/>
  <c r="G61" i="11"/>
  <c r="AM60" i="11"/>
  <c r="AL60" i="11"/>
  <c r="AK60" i="11"/>
  <c r="AJ60" i="11"/>
  <c r="AB60" i="11"/>
  <c r="Z60" i="11"/>
  <c r="W60" i="11"/>
  <c r="K60" i="11"/>
  <c r="J60" i="11"/>
  <c r="G60" i="11"/>
  <c r="AM59" i="11"/>
  <c r="AL59" i="11"/>
  <c r="AK59" i="11"/>
  <c r="AJ59" i="11"/>
  <c r="AB59" i="11"/>
  <c r="Z59" i="11"/>
  <c r="W59" i="11"/>
  <c r="K59" i="11"/>
  <c r="J59" i="11"/>
  <c r="G59" i="11"/>
  <c r="AM58" i="11"/>
  <c r="AL58" i="11"/>
  <c r="AK58" i="11"/>
  <c r="AJ58" i="11"/>
  <c r="AB58" i="11"/>
  <c r="Z58" i="11"/>
  <c r="W58" i="11"/>
  <c r="K58" i="11"/>
  <c r="J58" i="11"/>
  <c r="G58" i="11"/>
  <c r="AU57" i="11"/>
  <c r="AT57" i="11"/>
  <c r="AS57" i="11"/>
  <c r="AQ57" i="11"/>
  <c r="AO57" i="11"/>
  <c r="AM57" i="11"/>
  <c r="AL57" i="11"/>
  <c r="AK57" i="11"/>
  <c r="AJ57" i="11"/>
  <c r="AG57" i="11"/>
  <c r="AF57" i="11"/>
  <c r="AE57" i="11"/>
  <c r="AB57" i="11"/>
  <c r="Z57" i="11"/>
  <c r="W57" i="11"/>
  <c r="K57" i="11"/>
  <c r="J57" i="11"/>
  <c r="G57" i="11"/>
  <c r="AM56" i="11"/>
  <c r="AL56" i="11"/>
  <c r="AK56" i="11"/>
  <c r="AJ56" i="11"/>
  <c r="AB56" i="11"/>
  <c r="Z56" i="11"/>
  <c r="W56" i="11"/>
  <c r="K56" i="11"/>
  <c r="J56" i="11"/>
  <c r="G56" i="11"/>
  <c r="AM55" i="11"/>
  <c r="AL55" i="11"/>
  <c r="AK55" i="11"/>
  <c r="AJ55" i="11"/>
  <c r="AB55" i="11"/>
  <c r="Z55" i="11"/>
  <c r="W55" i="11"/>
  <c r="K55" i="11"/>
  <c r="J55" i="11"/>
  <c r="G55" i="11"/>
  <c r="AM54" i="11"/>
  <c r="AL54" i="11"/>
  <c r="AK54" i="11"/>
  <c r="AJ54" i="11"/>
  <c r="AB54" i="11"/>
  <c r="Z54" i="11"/>
  <c r="W54" i="11"/>
  <c r="K54" i="11"/>
  <c r="J54" i="11"/>
  <c r="G54" i="11"/>
  <c r="AM53" i="11"/>
  <c r="AL53" i="11"/>
  <c r="AK53" i="11"/>
  <c r="AJ53" i="11"/>
  <c r="AB53" i="11"/>
  <c r="Z53" i="11"/>
  <c r="W53" i="11"/>
  <c r="K53" i="11"/>
  <c r="J53" i="11"/>
  <c r="G53" i="11"/>
  <c r="AM52" i="11"/>
  <c r="AL52" i="11"/>
  <c r="AK52" i="11"/>
  <c r="AJ52" i="11"/>
  <c r="AB52" i="11"/>
  <c r="Z52" i="11"/>
  <c r="W52" i="11"/>
  <c r="K52" i="11"/>
  <c r="J52" i="11"/>
  <c r="G52" i="11"/>
  <c r="AU51" i="11"/>
  <c r="AT51" i="11"/>
  <c r="AS51" i="11"/>
  <c r="AQ51" i="11"/>
  <c r="AO51" i="11"/>
  <c r="AM51" i="11"/>
  <c r="AL51" i="11"/>
  <c r="AK51" i="11"/>
  <c r="AJ51" i="11"/>
  <c r="AG51" i="11"/>
  <c r="AF51" i="11"/>
  <c r="AE51" i="11"/>
  <c r="AB51" i="11"/>
  <c r="Z51" i="11"/>
  <c r="W51" i="11"/>
  <c r="K51" i="11"/>
  <c r="J51" i="11"/>
  <c r="G51" i="11"/>
  <c r="AM50" i="11"/>
  <c r="AL50" i="11"/>
  <c r="AK50" i="11"/>
  <c r="AJ50" i="11"/>
  <c r="Z50" i="11"/>
  <c r="W50" i="11"/>
  <c r="K50" i="11"/>
  <c r="J50" i="11"/>
  <c r="G50" i="11"/>
  <c r="AM49" i="11"/>
  <c r="AL49" i="11"/>
  <c r="AK49" i="11"/>
  <c r="AJ49" i="11"/>
  <c r="Z49" i="11"/>
  <c r="W49" i="11"/>
  <c r="K49" i="11"/>
  <c r="J49" i="11"/>
  <c r="G49" i="11"/>
  <c r="AU48" i="11"/>
  <c r="AT48" i="11"/>
  <c r="AS48" i="11"/>
  <c r="AQ48" i="11"/>
  <c r="AO48" i="11"/>
  <c r="AM48" i="11"/>
  <c r="AL48" i="11"/>
  <c r="AK48" i="11"/>
  <c r="AJ48" i="11"/>
  <c r="AG48" i="11"/>
  <c r="AF48" i="11"/>
  <c r="AE48" i="11"/>
  <c r="Z48" i="11"/>
  <c r="W48" i="11"/>
  <c r="K48" i="11"/>
  <c r="J48" i="11"/>
  <c r="G48" i="11"/>
  <c r="AM47" i="11"/>
  <c r="AL47" i="11"/>
  <c r="AK47" i="11"/>
  <c r="AJ47" i="11"/>
  <c r="Z47" i="11"/>
  <c r="W47" i="11"/>
  <c r="K47" i="11"/>
  <c r="J47" i="11"/>
  <c r="G47" i="11"/>
  <c r="AM46" i="11"/>
  <c r="AL46" i="11"/>
  <c r="AK46" i="11"/>
  <c r="AJ46" i="11"/>
  <c r="Z46" i="11"/>
  <c r="W46" i="11"/>
  <c r="K46" i="11"/>
  <c r="J46" i="11"/>
  <c r="G46" i="11"/>
  <c r="AU45" i="11"/>
  <c r="AT45" i="11"/>
  <c r="AS45" i="11"/>
  <c r="AQ45" i="11"/>
  <c r="AO45" i="11"/>
  <c r="AM45" i="11"/>
  <c r="AL45" i="11"/>
  <c r="AK45" i="11"/>
  <c r="AJ45" i="11"/>
  <c r="AG45" i="11"/>
  <c r="AF45" i="11"/>
  <c r="AE45" i="11"/>
  <c r="Z45" i="11"/>
  <c r="W45" i="11"/>
  <c r="K45" i="11"/>
  <c r="J45" i="11"/>
  <c r="G45" i="11"/>
  <c r="AM44" i="11"/>
  <c r="AL44" i="11"/>
  <c r="AK44" i="11"/>
  <c r="AJ44" i="11"/>
  <c r="Z44" i="11"/>
  <c r="W44" i="11"/>
  <c r="K44" i="11"/>
  <c r="J44" i="11"/>
  <c r="G44" i="11"/>
  <c r="AM43" i="11"/>
  <c r="AL43" i="11"/>
  <c r="AK43" i="11"/>
  <c r="AJ43" i="11"/>
  <c r="Z43" i="11"/>
  <c r="W43" i="11"/>
  <c r="K43" i="11"/>
  <c r="J43" i="11"/>
  <c r="G43" i="11"/>
  <c r="AU42" i="11"/>
  <c r="AT42" i="11"/>
  <c r="AS42" i="11"/>
  <c r="AQ42" i="11"/>
  <c r="AO42" i="11"/>
  <c r="AM42" i="11"/>
  <c r="AL42" i="11"/>
  <c r="AK42" i="11"/>
  <c r="AJ42" i="11"/>
  <c r="AG42" i="11"/>
  <c r="AF42" i="11"/>
  <c r="AE42" i="11"/>
  <c r="Z42" i="11"/>
  <c r="W42" i="11"/>
  <c r="K42" i="11"/>
  <c r="J42" i="11"/>
  <c r="G42" i="11"/>
  <c r="AM41" i="11"/>
  <c r="AL41" i="11"/>
  <c r="AK41" i="11"/>
  <c r="AJ41" i="11"/>
  <c r="Z41" i="11"/>
  <c r="W41" i="11"/>
  <c r="K41" i="11"/>
  <c r="J41" i="11"/>
  <c r="G41" i="11"/>
  <c r="AM40" i="11"/>
  <c r="AL40" i="11"/>
  <c r="AK40" i="11"/>
  <c r="AJ40" i="11"/>
  <c r="Z40" i="11"/>
  <c r="W40" i="11"/>
  <c r="K40" i="11"/>
  <c r="J40" i="11"/>
  <c r="G40" i="11"/>
  <c r="AU39" i="11"/>
  <c r="AT39" i="11"/>
  <c r="AS39" i="11"/>
  <c r="AQ39" i="11"/>
  <c r="AO39" i="11"/>
  <c r="AM39" i="11"/>
  <c r="AL39" i="11"/>
  <c r="AK39" i="11"/>
  <c r="AJ39" i="11"/>
  <c r="AG39" i="11"/>
  <c r="AF39" i="11"/>
  <c r="AE39" i="11"/>
  <c r="Z39" i="11"/>
  <c r="W39" i="11"/>
  <c r="K39" i="11"/>
  <c r="J39" i="11"/>
  <c r="G39" i="11"/>
  <c r="AM38" i="11"/>
  <c r="AL38" i="11"/>
  <c r="AK38" i="11"/>
  <c r="AJ38" i="11"/>
  <c r="Z38" i="11"/>
  <c r="W38" i="11"/>
  <c r="K38" i="11"/>
  <c r="J38" i="11"/>
  <c r="G38" i="11"/>
  <c r="AM37" i="11"/>
  <c r="AL37" i="11"/>
  <c r="AK37" i="11"/>
  <c r="AJ37" i="11"/>
  <c r="Z37" i="11"/>
  <c r="W37" i="11"/>
  <c r="K37" i="11"/>
  <c r="J37" i="11"/>
  <c r="G37" i="11"/>
  <c r="AU36" i="11"/>
  <c r="AT36" i="11"/>
  <c r="AS36" i="11"/>
  <c r="AQ36" i="11"/>
  <c r="AO36" i="11"/>
  <c r="AM36" i="11"/>
  <c r="AL36" i="11"/>
  <c r="AK36" i="11"/>
  <c r="AJ36" i="11"/>
  <c r="AG36" i="11"/>
  <c r="AF36" i="11"/>
  <c r="AE36" i="11"/>
  <c r="Z36" i="11"/>
  <c r="W36" i="11"/>
  <c r="K36" i="11"/>
  <c r="J36" i="11"/>
  <c r="G36" i="11"/>
  <c r="AM35" i="11"/>
  <c r="AL35" i="11"/>
  <c r="AK35" i="11"/>
  <c r="AJ35" i="11"/>
  <c r="Z35" i="11"/>
  <c r="W35" i="11"/>
  <c r="K35" i="11"/>
  <c r="J35" i="11"/>
  <c r="G35" i="11"/>
  <c r="AM34" i="11"/>
  <c r="AL34" i="11"/>
  <c r="AK34" i="11"/>
  <c r="AJ34" i="11"/>
  <c r="Z34" i="11"/>
  <c r="W34" i="11"/>
  <c r="K34" i="11"/>
  <c r="J34" i="11"/>
  <c r="G34" i="11"/>
  <c r="AU33" i="11"/>
  <c r="AT33" i="11"/>
  <c r="AS33" i="11"/>
  <c r="AQ33" i="11"/>
  <c r="AO33" i="11"/>
  <c r="AM33" i="11"/>
  <c r="AL33" i="11"/>
  <c r="AK33" i="11"/>
  <c r="AJ33" i="11"/>
  <c r="AG33" i="11"/>
  <c r="AF33" i="11"/>
  <c r="AE33" i="11"/>
  <c r="Z33" i="11"/>
  <c r="W33" i="11"/>
  <c r="K33" i="11"/>
  <c r="J33" i="11"/>
  <c r="G33" i="11"/>
  <c r="AM32" i="11"/>
  <c r="AL32" i="11"/>
  <c r="AK32" i="11"/>
  <c r="AJ32" i="11"/>
  <c r="AB32" i="11"/>
  <c r="Z32" i="11"/>
  <c r="W32" i="11"/>
  <c r="K32" i="11"/>
  <c r="J32" i="11"/>
  <c r="G32" i="11"/>
  <c r="AM31" i="11"/>
  <c r="AL31" i="11"/>
  <c r="AK31" i="11"/>
  <c r="AJ31" i="11"/>
  <c r="AB31" i="11"/>
  <c r="Z31" i="11"/>
  <c r="W31" i="11"/>
  <c r="K31" i="11"/>
  <c r="J31" i="11"/>
  <c r="G31" i="11"/>
  <c r="AM30" i="11"/>
  <c r="AL30" i="11"/>
  <c r="AK30" i="11"/>
  <c r="AJ30" i="11"/>
  <c r="AB30" i="11"/>
  <c r="Z30" i="11"/>
  <c r="W30" i="11"/>
  <c r="K30" i="11"/>
  <c r="J30" i="11"/>
  <c r="G30" i="11"/>
  <c r="AM29" i="11"/>
  <c r="AL29" i="11"/>
  <c r="AK29" i="11"/>
  <c r="AJ29" i="11"/>
  <c r="AB29" i="11"/>
  <c r="Z29" i="11"/>
  <c r="W29" i="11"/>
  <c r="K29" i="11"/>
  <c r="J29" i="11"/>
  <c r="G29" i="11"/>
  <c r="AM28" i="11"/>
  <c r="AL28" i="11"/>
  <c r="AK28" i="11"/>
  <c r="AJ28" i="11"/>
  <c r="AB28" i="11"/>
  <c r="Z28" i="11"/>
  <c r="W28" i="11"/>
  <c r="K28" i="11"/>
  <c r="J28" i="11"/>
  <c r="G28" i="11"/>
  <c r="AU27" i="11"/>
  <c r="AT27" i="11"/>
  <c r="AS27" i="11"/>
  <c r="AQ27" i="11"/>
  <c r="AO27" i="11"/>
  <c r="AM27" i="11"/>
  <c r="AL27" i="11"/>
  <c r="AK27" i="11"/>
  <c r="AJ27" i="11"/>
  <c r="AG27" i="11"/>
  <c r="AF27" i="11"/>
  <c r="AE27" i="11"/>
  <c r="AB27" i="11"/>
  <c r="Z27" i="11"/>
  <c r="W27" i="11"/>
  <c r="K27" i="11"/>
  <c r="J27" i="11"/>
  <c r="G27" i="11"/>
  <c r="AM26" i="11"/>
  <c r="AL26" i="11"/>
  <c r="AK26" i="11"/>
  <c r="AJ26" i="11"/>
  <c r="Z26" i="11"/>
  <c r="W26" i="11"/>
  <c r="K26" i="11"/>
  <c r="J26" i="11"/>
  <c r="G26" i="11"/>
  <c r="AM25" i="11"/>
  <c r="AL25" i="11"/>
  <c r="AK25" i="11"/>
  <c r="AJ25" i="11"/>
  <c r="Z25" i="11"/>
  <c r="W25" i="11"/>
  <c r="K25" i="11"/>
  <c r="J25" i="11"/>
  <c r="G25" i="11"/>
  <c r="AU24" i="11"/>
  <c r="AT24" i="11"/>
  <c r="AS24" i="11"/>
  <c r="AQ24" i="11"/>
  <c r="AO24" i="11"/>
  <c r="AM24" i="11"/>
  <c r="AL24" i="11"/>
  <c r="AK24" i="11"/>
  <c r="AJ24" i="11"/>
  <c r="AG24" i="11"/>
  <c r="AF24" i="11"/>
  <c r="AE24" i="11"/>
  <c r="Z24" i="11"/>
  <c r="W24" i="11"/>
  <c r="K24" i="11"/>
  <c r="J24" i="11"/>
  <c r="G24" i="11"/>
  <c r="AM23" i="11"/>
  <c r="AL23" i="11"/>
  <c r="AK23" i="11"/>
  <c r="AJ23" i="11"/>
  <c r="Z23" i="11"/>
  <c r="W23" i="11"/>
  <c r="K23" i="11"/>
  <c r="J23" i="11"/>
  <c r="G23" i="11"/>
  <c r="AM22" i="11"/>
  <c r="AL22" i="11"/>
  <c r="AK22" i="11"/>
  <c r="AJ22" i="11"/>
  <c r="Z22" i="11"/>
  <c r="W22" i="11"/>
  <c r="K22" i="11"/>
  <c r="J22" i="11"/>
  <c r="G22" i="11"/>
  <c r="AM21" i="11"/>
  <c r="AL21" i="11"/>
  <c r="AK21" i="11"/>
  <c r="AJ21" i="11"/>
  <c r="Z21" i="11"/>
  <c r="W21" i="11"/>
  <c r="K21" i="11"/>
  <c r="J21" i="11"/>
  <c r="G21" i="11"/>
  <c r="AM20" i="11"/>
  <c r="AL20" i="11"/>
  <c r="AK20" i="11"/>
  <c r="AJ20" i="11"/>
  <c r="Z20" i="11"/>
  <c r="W20" i="11"/>
  <c r="K20" i="11"/>
  <c r="J20" i="11"/>
  <c r="G20" i="11"/>
  <c r="AU19" i="11"/>
  <c r="AT19" i="11"/>
  <c r="AS19" i="11"/>
  <c r="AQ19" i="11"/>
  <c r="AO19" i="11"/>
  <c r="AM19" i="11"/>
  <c r="AL19" i="11"/>
  <c r="AK19" i="11"/>
  <c r="AJ19" i="11"/>
  <c r="AG19" i="11"/>
  <c r="AF19" i="11"/>
  <c r="AE19" i="11"/>
  <c r="Z19" i="11"/>
  <c r="W19" i="11"/>
  <c r="K19" i="11"/>
  <c r="J19" i="11"/>
  <c r="G19" i="11"/>
  <c r="AM18" i="11"/>
  <c r="AL18" i="11"/>
  <c r="AK18" i="11"/>
  <c r="AJ18" i="11"/>
  <c r="Z18" i="11"/>
  <c r="W18" i="11"/>
  <c r="K18" i="11"/>
  <c r="J18" i="11"/>
  <c r="G18" i="11"/>
  <c r="AM17" i="11"/>
  <c r="AL17" i="11"/>
  <c r="AK17" i="11"/>
  <c r="AJ17" i="11"/>
  <c r="Z17" i="11"/>
  <c r="W17" i="11"/>
  <c r="K17" i="11"/>
  <c r="J17" i="11"/>
  <c r="G17" i="11"/>
  <c r="AU16" i="11"/>
  <c r="AT16" i="11"/>
  <c r="AS16" i="11"/>
  <c r="AQ16" i="11"/>
  <c r="AO16" i="11"/>
  <c r="AM16" i="11"/>
  <c r="AL16" i="11"/>
  <c r="AK16" i="11"/>
  <c r="AJ16" i="11"/>
  <c r="AG16" i="11"/>
  <c r="AF16" i="11"/>
  <c r="AE16" i="11"/>
  <c r="Z16" i="11"/>
  <c r="W16" i="11"/>
  <c r="K16" i="11"/>
  <c r="J16" i="11"/>
  <c r="G16" i="11"/>
  <c r="AM15" i="11"/>
  <c r="AL15" i="11"/>
  <c r="AK15" i="11"/>
  <c r="AJ15" i="11"/>
  <c r="Z15" i="11"/>
  <c r="W15" i="11"/>
  <c r="K15" i="11"/>
  <c r="J15" i="11"/>
  <c r="G15" i="11"/>
  <c r="AM14" i="11"/>
  <c r="AL14" i="11"/>
  <c r="AK14" i="11"/>
  <c r="AJ14" i="11"/>
  <c r="Z14" i="11"/>
  <c r="W14" i="11"/>
  <c r="K14" i="11"/>
  <c r="J14" i="11"/>
  <c r="G14" i="11"/>
  <c r="AU13" i="11"/>
  <c r="AT13" i="11"/>
  <c r="AS13" i="11"/>
  <c r="AQ13" i="11"/>
  <c r="AO13" i="11"/>
  <c r="AM13" i="11"/>
  <c r="AL13" i="11"/>
  <c r="AK13" i="11"/>
  <c r="AJ13" i="11"/>
  <c r="AG13" i="11"/>
  <c r="AF13" i="11"/>
  <c r="AE13" i="11"/>
  <c r="Z13" i="11"/>
  <c r="W13" i="11"/>
  <c r="K13" i="11"/>
  <c r="J13" i="11"/>
  <c r="G13" i="11"/>
  <c r="AM12" i="11"/>
  <c r="AL12" i="11"/>
  <c r="AK12" i="11"/>
  <c r="AJ12" i="11"/>
  <c r="Z12" i="11"/>
  <c r="W12" i="11"/>
  <c r="K12" i="11"/>
  <c r="J12" i="11"/>
  <c r="G12" i="11"/>
  <c r="AM11" i="11"/>
  <c r="AL11" i="11"/>
  <c r="AK11" i="11"/>
  <c r="AJ11" i="11"/>
  <c r="Z11" i="11"/>
  <c r="W11" i="11"/>
  <c r="K11" i="11"/>
  <c r="J11" i="11"/>
  <c r="G11" i="11"/>
  <c r="AM10" i="11"/>
  <c r="AL10" i="11"/>
  <c r="AK10" i="11"/>
  <c r="AJ10" i="11"/>
  <c r="Z10" i="11"/>
  <c r="W10" i="11"/>
  <c r="K10" i="11"/>
  <c r="J10" i="11"/>
  <c r="G10" i="11"/>
  <c r="AM9" i="11"/>
  <c r="AL9" i="11"/>
  <c r="AK9" i="11"/>
  <c r="AJ9" i="11"/>
  <c r="Z9" i="11"/>
  <c r="W9" i="11"/>
  <c r="K9" i="11"/>
  <c r="J9" i="11"/>
  <c r="G9" i="11"/>
  <c r="AU8" i="11"/>
  <c r="AT8" i="11"/>
  <c r="AS8" i="11"/>
  <c r="AQ8" i="11"/>
  <c r="AO8" i="11"/>
  <c r="AM8" i="11"/>
  <c r="AL8" i="11"/>
  <c r="AK8" i="11"/>
  <c r="AJ8" i="11"/>
  <c r="AG8" i="11"/>
  <c r="AF8" i="11"/>
  <c r="AE8" i="11"/>
  <c r="Z8" i="11"/>
  <c r="W8" i="11"/>
  <c r="K8" i="11"/>
  <c r="J8" i="11"/>
  <c r="G8" i="11"/>
  <c r="AM7" i="11"/>
  <c r="AL7" i="11"/>
  <c r="AK7" i="11"/>
  <c r="AJ7" i="11"/>
  <c r="Z7" i="11"/>
  <c r="W7" i="11"/>
  <c r="K7" i="11"/>
  <c r="J7" i="11"/>
  <c r="G7" i="11"/>
  <c r="AM6" i="11"/>
  <c r="AL6" i="11"/>
  <c r="AK6" i="11"/>
  <c r="AJ6" i="11"/>
  <c r="Z6" i="11"/>
  <c r="W6" i="11"/>
  <c r="K6" i="11"/>
  <c r="J6" i="11"/>
  <c r="G6" i="11"/>
  <c r="AU5" i="11"/>
  <c r="AT5" i="11"/>
  <c r="AS5" i="11"/>
  <c r="AQ5" i="11"/>
  <c r="AO5" i="11"/>
  <c r="AM5" i="11"/>
  <c r="AL5" i="11"/>
  <c r="AK5" i="11"/>
  <c r="AJ5" i="11"/>
  <c r="AG5" i="11"/>
  <c r="AF5" i="11"/>
  <c r="AE5" i="11"/>
  <c r="Z5" i="11"/>
  <c r="W5" i="11"/>
  <c r="K5" i="11"/>
  <c r="J5" i="11"/>
  <c r="G5" i="11"/>
  <c r="AM4" i="11"/>
  <c r="AL4" i="11"/>
  <c r="AK4" i="11"/>
  <c r="AJ4" i="11"/>
  <c r="Z4" i="11"/>
  <c r="W4" i="11"/>
  <c r="K4" i="11"/>
  <c r="J4" i="11"/>
  <c r="G4" i="11"/>
  <c r="AM3" i="11"/>
  <c r="AL3" i="11"/>
  <c r="AK3" i="11"/>
  <c r="AJ3" i="11"/>
  <c r="Z3" i="11"/>
  <c r="W3" i="11"/>
  <c r="K3" i="11"/>
  <c r="J3" i="11"/>
  <c r="G3" i="11"/>
  <c r="AU2" i="11"/>
  <c r="AT2" i="11"/>
  <c r="AS2" i="11"/>
  <c r="AQ2" i="11"/>
  <c r="AO2" i="11"/>
  <c r="AM2" i="11"/>
  <c r="AL2" i="11"/>
  <c r="AK2" i="11"/>
  <c r="AJ2" i="11"/>
  <c r="AG2" i="11"/>
  <c r="AF2" i="11"/>
  <c r="AE2" i="11"/>
  <c r="Z2" i="11"/>
  <c r="W2" i="11"/>
  <c r="K2" i="11"/>
  <c r="J2" i="11"/>
  <c r="G2" i="11"/>
  <c r="P60" i="2"/>
  <c r="P41" i="2"/>
  <c r="B25" i="2"/>
  <c r="AK342" i="1"/>
  <c r="AE342" i="1"/>
  <c r="AN330" i="1"/>
  <c r="AO330" i="1" s="1"/>
  <c r="AL330" i="1"/>
  <c r="AM330" i="1" s="1"/>
  <c r="Z330" i="1"/>
  <c r="W330" i="1"/>
  <c r="K330" i="1"/>
  <c r="G330" i="1"/>
  <c r="J330" i="1" s="1"/>
  <c r="AN329" i="1"/>
  <c r="AO329" i="1" s="1"/>
  <c r="AM329" i="1"/>
  <c r="AL329" i="1"/>
  <c r="Z329" i="1"/>
  <c r="W329" i="1"/>
  <c r="K329" i="1"/>
  <c r="G329" i="1"/>
  <c r="J329" i="1" s="1"/>
  <c r="AW328" i="1"/>
  <c r="AV328" i="1"/>
  <c r="AU328" i="1"/>
  <c r="AO328" i="1"/>
  <c r="AN328" i="1"/>
  <c r="AL328" i="1"/>
  <c r="AM328" i="1" s="1"/>
  <c r="AI328" i="1"/>
  <c r="AH328" i="1"/>
  <c r="AF328" i="1"/>
  <c r="Z328" i="1"/>
  <c r="W328" i="1"/>
  <c r="K328" i="1"/>
  <c r="G328" i="1"/>
  <c r="J328" i="1" s="1"/>
  <c r="AO327" i="1"/>
  <c r="AN327" i="1"/>
  <c r="AL327" i="1"/>
  <c r="AM327" i="1" s="1"/>
  <c r="Z327" i="1"/>
  <c r="W327" i="1"/>
  <c r="K327" i="1"/>
  <c r="G327" i="1"/>
  <c r="J327" i="1" s="1"/>
  <c r="AN326" i="1"/>
  <c r="AO326" i="1" s="1"/>
  <c r="AL326" i="1"/>
  <c r="AM326" i="1" s="1"/>
  <c r="Z326" i="1"/>
  <c r="W326" i="1"/>
  <c r="K326" i="1"/>
  <c r="G326" i="1"/>
  <c r="J326" i="1" s="1"/>
  <c r="AW325" i="1"/>
  <c r="AV325" i="1"/>
  <c r="AU325" i="1"/>
  <c r="AO325" i="1"/>
  <c r="AN325" i="1"/>
  <c r="AL325" i="1"/>
  <c r="AM325" i="1" s="1"/>
  <c r="AH325" i="1"/>
  <c r="AF325" i="1"/>
  <c r="Z325" i="1"/>
  <c r="W325" i="1"/>
  <c r="K325" i="1"/>
  <c r="AI325" i="1" s="1"/>
  <c r="G325" i="1"/>
  <c r="J325" i="1" s="1"/>
  <c r="AN324" i="1"/>
  <c r="AO324" i="1" s="1"/>
  <c r="AL324" i="1"/>
  <c r="AM324" i="1" s="1"/>
  <c r="Z324" i="1"/>
  <c r="W324" i="1"/>
  <c r="K324" i="1"/>
  <c r="G324" i="1"/>
  <c r="J324" i="1" s="1"/>
  <c r="AO323" i="1"/>
  <c r="AN323" i="1"/>
  <c r="AL323" i="1"/>
  <c r="AM323" i="1" s="1"/>
  <c r="Z323" i="1"/>
  <c r="W323" i="1"/>
  <c r="K323" i="1"/>
  <c r="G323" i="1"/>
  <c r="J323" i="1" s="1"/>
  <c r="AW322" i="1"/>
  <c r="AV322" i="1"/>
  <c r="AU322" i="1"/>
  <c r="AN322" i="1"/>
  <c r="AO322" i="1" s="1"/>
  <c r="AL322" i="1"/>
  <c r="AM322" i="1" s="1"/>
  <c r="AH322" i="1"/>
  <c r="AF322" i="1"/>
  <c r="Z322" i="1"/>
  <c r="W322" i="1"/>
  <c r="K322" i="1"/>
  <c r="AI322" i="1" s="1"/>
  <c r="G322" i="1"/>
  <c r="J322" i="1" s="1"/>
  <c r="AN321" i="1"/>
  <c r="AO321" i="1" s="1"/>
  <c r="AL321" i="1"/>
  <c r="AM321" i="1" s="1"/>
  <c r="Z321" i="1"/>
  <c r="W321" i="1"/>
  <c r="K321" i="1"/>
  <c r="G321" i="1"/>
  <c r="J321" i="1" s="1"/>
  <c r="AN320" i="1"/>
  <c r="AO320" i="1" s="1"/>
  <c r="AL320" i="1"/>
  <c r="AM320" i="1" s="1"/>
  <c r="Z320" i="1"/>
  <c r="W320" i="1"/>
  <c r="K320" i="1"/>
  <c r="G320" i="1"/>
  <c r="J320" i="1" s="1"/>
  <c r="AW319" i="1"/>
  <c r="AV319" i="1"/>
  <c r="AU319" i="1"/>
  <c r="AN319" i="1"/>
  <c r="AO319" i="1" s="1"/>
  <c r="AL319" i="1"/>
  <c r="AM319" i="1" s="1"/>
  <c r="AH319" i="1"/>
  <c r="AF319" i="1"/>
  <c r="Z319" i="1"/>
  <c r="W319" i="1"/>
  <c r="K319" i="1"/>
  <c r="AI319" i="1" s="1"/>
  <c r="G319" i="1"/>
  <c r="J319" i="1" s="1"/>
  <c r="AN318" i="1"/>
  <c r="AO318" i="1" s="1"/>
  <c r="AL318" i="1"/>
  <c r="AM318" i="1" s="1"/>
  <c r="Z318" i="1"/>
  <c r="W318" i="1"/>
  <c r="K318" i="1"/>
  <c r="G318" i="1"/>
  <c r="J318" i="1" s="1"/>
  <c r="AO317" i="1"/>
  <c r="AN317" i="1"/>
  <c r="AL317" i="1"/>
  <c r="AM317" i="1" s="1"/>
  <c r="Z317" i="1"/>
  <c r="W317" i="1"/>
  <c r="K317" i="1"/>
  <c r="G317" i="1"/>
  <c r="J317" i="1" s="1"/>
  <c r="AW316" i="1"/>
  <c r="AV316" i="1"/>
  <c r="AU316" i="1"/>
  <c r="AO316" i="1"/>
  <c r="AN316" i="1"/>
  <c r="AL316" i="1"/>
  <c r="AM316" i="1" s="1"/>
  <c r="AH316" i="1"/>
  <c r="AF316" i="1"/>
  <c r="Z316" i="1"/>
  <c r="W316" i="1"/>
  <c r="K316" i="1"/>
  <c r="AI316" i="1" s="1"/>
  <c r="G316" i="1"/>
  <c r="J316" i="1" s="1"/>
  <c r="AO315" i="1"/>
  <c r="AN315" i="1"/>
  <c r="AL315" i="1"/>
  <c r="AM315" i="1" s="1"/>
  <c r="Z315" i="1"/>
  <c r="W315" i="1"/>
  <c r="K315" i="1"/>
  <c r="G315" i="1"/>
  <c r="J315" i="1" s="1"/>
  <c r="AN314" i="1"/>
  <c r="AO314" i="1" s="1"/>
  <c r="AL314" i="1"/>
  <c r="AM314" i="1" s="1"/>
  <c r="Z314" i="1"/>
  <c r="W314" i="1"/>
  <c r="K314" i="1"/>
  <c r="G314" i="1"/>
  <c r="J314" i="1" s="1"/>
  <c r="AW313" i="1"/>
  <c r="AV313" i="1"/>
  <c r="AU313" i="1"/>
  <c r="AO313" i="1"/>
  <c r="AN313" i="1"/>
  <c r="AL313" i="1"/>
  <c r="AM313" i="1" s="1"/>
  <c r="AH313" i="1"/>
  <c r="AF313" i="1"/>
  <c r="Z313" i="1"/>
  <c r="W313" i="1"/>
  <c r="K313" i="1"/>
  <c r="AI313" i="1" s="1"/>
  <c r="G313" i="1"/>
  <c r="J313" i="1" s="1"/>
  <c r="AN312" i="1"/>
  <c r="AO312" i="1" s="1"/>
  <c r="AL312" i="1"/>
  <c r="AM312" i="1" s="1"/>
  <c r="Z312" i="1"/>
  <c r="W312" i="1"/>
  <c r="K312" i="1"/>
  <c r="G312" i="1"/>
  <c r="J312" i="1" s="1"/>
  <c r="AN311" i="1"/>
  <c r="AO311" i="1" s="1"/>
  <c r="AM311" i="1"/>
  <c r="AL311" i="1"/>
  <c r="Z311" i="1"/>
  <c r="W311" i="1"/>
  <c r="K311" i="1"/>
  <c r="G311" i="1"/>
  <c r="J311" i="1" s="1"/>
  <c r="AW310" i="1"/>
  <c r="AV310" i="1"/>
  <c r="AU310" i="1"/>
  <c r="AN310" i="1"/>
  <c r="AO310" i="1" s="1"/>
  <c r="AL310" i="1"/>
  <c r="AM310" i="1" s="1"/>
  <c r="AH310" i="1"/>
  <c r="AF310" i="1"/>
  <c r="Z310" i="1"/>
  <c r="W310" i="1"/>
  <c r="K310" i="1"/>
  <c r="AI310" i="1" s="1"/>
  <c r="G310" i="1"/>
  <c r="J310" i="1" s="1"/>
  <c r="AN309" i="1"/>
  <c r="AO309" i="1" s="1"/>
  <c r="AL309" i="1"/>
  <c r="AM309" i="1" s="1"/>
  <c r="Z309" i="1"/>
  <c r="W309" i="1"/>
  <c r="K309" i="1"/>
  <c r="G309" i="1"/>
  <c r="J309" i="1" s="1"/>
  <c r="AN308" i="1"/>
  <c r="AO308" i="1" s="1"/>
  <c r="AL308" i="1"/>
  <c r="AM308" i="1" s="1"/>
  <c r="Z308" i="1"/>
  <c r="W308" i="1"/>
  <c r="K308" i="1"/>
  <c r="J308" i="1"/>
  <c r="G308" i="1"/>
  <c r="AW307" i="1"/>
  <c r="AV307" i="1"/>
  <c r="AU307" i="1"/>
  <c r="AN307" i="1"/>
  <c r="AO307" i="1" s="1"/>
  <c r="AL307" i="1"/>
  <c r="AM307" i="1" s="1"/>
  <c r="AH307" i="1"/>
  <c r="AF307" i="1"/>
  <c r="Z307" i="1"/>
  <c r="W307" i="1"/>
  <c r="K307" i="1"/>
  <c r="AI307" i="1" s="1"/>
  <c r="G307" i="1"/>
  <c r="J307" i="1" s="1"/>
  <c r="AN306" i="1"/>
  <c r="AO306" i="1" s="1"/>
  <c r="AL306" i="1"/>
  <c r="AM306" i="1" s="1"/>
  <c r="Z306" i="1"/>
  <c r="W306" i="1"/>
  <c r="K306" i="1"/>
  <c r="G306" i="1"/>
  <c r="J306" i="1" s="1"/>
  <c r="AN305" i="1"/>
  <c r="AO305" i="1" s="1"/>
  <c r="AL305" i="1"/>
  <c r="AM305" i="1" s="1"/>
  <c r="Z305" i="1"/>
  <c r="W305" i="1"/>
  <c r="K305" i="1"/>
  <c r="G305" i="1"/>
  <c r="J305" i="1" s="1"/>
  <c r="AW304" i="1"/>
  <c r="AV304" i="1"/>
  <c r="AU304" i="1"/>
  <c r="AN304" i="1"/>
  <c r="AO304" i="1" s="1"/>
  <c r="AL304" i="1"/>
  <c r="AM304" i="1" s="1"/>
  <c r="AH304" i="1"/>
  <c r="AF304" i="1"/>
  <c r="Z304" i="1"/>
  <c r="W304" i="1"/>
  <c r="K304" i="1"/>
  <c r="AI304" i="1" s="1"/>
  <c r="G304" i="1"/>
  <c r="J304" i="1" s="1"/>
  <c r="AO303" i="1"/>
  <c r="AN303" i="1"/>
  <c r="AL303" i="1"/>
  <c r="AM303" i="1" s="1"/>
  <c r="Z303" i="1"/>
  <c r="W303" i="1"/>
  <c r="K303" i="1"/>
  <c r="G303" i="1"/>
  <c r="J303" i="1" s="1"/>
  <c r="AN302" i="1"/>
  <c r="AO302" i="1" s="1"/>
  <c r="AL302" i="1"/>
  <c r="AM302" i="1" s="1"/>
  <c r="Z302" i="1"/>
  <c r="W302" i="1"/>
  <c r="K302" i="1"/>
  <c r="G302" i="1"/>
  <c r="J302" i="1" s="1"/>
  <c r="AW301" i="1"/>
  <c r="AV301" i="1"/>
  <c r="AU301" i="1"/>
  <c r="AN301" i="1"/>
  <c r="AO301" i="1" s="1"/>
  <c r="AL301" i="1"/>
  <c r="AM301" i="1" s="1"/>
  <c r="AH301" i="1"/>
  <c r="AF301" i="1"/>
  <c r="Z301" i="1"/>
  <c r="W301" i="1"/>
  <c r="K301" i="1"/>
  <c r="AI301" i="1" s="1"/>
  <c r="G301" i="1"/>
  <c r="J301" i="1" s="1"/>
  <c r="AN300" i="1"/>
  <c r="AO300" i="1" s="1"/>
  <c r="AL300" i="1"/>
  <c r="AM300" i="1" s="1"/>
  <c r="Z300" i="1"/>
  <c r="W300" i="1"/>
  <c r="K300" i="1"/>
  <c r="G300" i="1"/>
  <c r="J300" i="1" s="1"/>
  <c r="AN299" i="1"/>
  <c r="AO299" i="1" s="1"/>
  <c r="AL299" i="1"/>
  <c r="AM299" i="1" s="1"/>
  <c r="Z299" i="1"/>
  <c r="W299" i="1"/>
  <c r="K299" i="1"/>
  <c r="G299" i="1"/>
  <c r="J299" i="1" s="1"/>
  <c r="AW298" i="1"/>
  <c r="AV298" i="1"/>
  <c r="AU298" i="1"/>
  <c r="AN298" i="1"/>
  <c r="AO298" i="1" s="1"/>
  <c r="AL298" i="1"/>
  <c r="AM298" i="1" s="1"/>
  <c r="AH298" i="1"/>
  <c r="AF298" i="1"/>
  <c r="Z298" i="1"/>
  <c r="W298" i="1"/>
  <c r="K298" i="1"/>
  <c r="AI298" i="1" s="1"/>
  <c r="G298" i="1"/>
  <c r="J298" i="1" s="1"/>
  <c r="AN297" i="1"/>
  <c r="AO297" i="1" s="1"/>
  <c r="AL297" i="1"/>
  <c r="AM297" i="1" s="1"/>
  <c r="Z297" i="1"/>
  <c r="W297" i="1"/>
  <c r="K297" i="1"/>
  <c r="G297" i="1"/>
  <c r="J297" i="1" s="1"/>
  <c r="AN296" i="1"/>
  <c r="AO296" i="1" s="1"/>
  <c r="AL296" i="1"/>
  <c r="AM296" i="1" s="1"/>
  <c r="Z296" i="1"/>
  <c r="W296" i="1"/>
  <c r="K296" i="1"/>
  <c r="G296" i="1"/>
  <c r="J296" i="1" s="1"/>
  <c r="AW295" i="1"/>
  <c r="AV295" i="1"/>
  <c r="AU295" i="1"/>
  <c r="AN295" i="1"/>
  <c r="AO295" i="1" s="1"/>
  <c r="AL295" i="1"/>
  <c r="AM295" i="1" s="1"/>
  <c r="AH295" i="1"/>
  <c r="AF295" i="1"/>
  <c r="Z295" i="1"/>
  <c r="W295" i="1"/>
  <c r="K295" i="1"/>
  <c r="AI295" i="1" s="1"/>
  <c r="G295" i="1"/>
  <c r="J295" i="1" s="1"/>
  <c r="AN294" i="1"/>
  <c r="AO294" i="1" s="1"/>
  <c r="AL294" i="1"/>
  <c r="AM294" i="1" s="1"/>
  <c r="Z294" i="1"/>
  <c r="W294" i="1"/>
  <c r="K294" i="1"/>
  <c r="G294" i="1"/>
  <c r="J294" i="1" s="1"/>
  <c r="AN293" i="1"/>
  <c r="AO293" i="1" s="1"/>
  <c r="AL293" i="1"/>
  <c r="AM293" i="1" s="1"/>
  <c r="Z293" i="1"/>
  <c r="W293" i="1"/>
  <c r="K293" i="1"/>
  <c r="G293" i="1"/>
  <c r="J293" i="1" s="1"/>
  <c r="AW292" i="1"/>
  <c r="AV292" i="1"/>
  <c r="AU292" i="1"/>
  <c r="AN292" i="1"/>
  <c r="AO292" i="1" s="1"/>
  <c r="AL292" i="1"/>
  <c r="AM292" i="1" s="1"/>
  <c r="AH292" i="1"/>
  <c r="AF292" i="1"/>
  <c r="Z292" i="1"/>
  <c r="W292" i="1"/>
  <c r="K292" i="1"/>
  <c r="AI292" i="1" s="1"/>
  <c r="G292" i="1"/>
  <c r="J292" i="1" s="1"/>
  <c r="AN291" i="1"/>
  <c r="AO291" i="1" s="1"/>
  <c r="AL291" i="1"/>
  <c r="AM291" i="1" s="1"/>
  <c r="Z291" i="1"/>
  <c r="W291" i="1"/>
  <c r="K291" i="1"/>
  <c r="G291" i="1"/>
  <c r="J291" i="1" s="1"/>
  <c r="AN290" i="1"/>
  <c r="AO290" i="1" s="1"/>
  <c r="AL290" i="1"/>
  <c r="AM290" i="1" s="1"/>
  <c r="Z290" i="1"/>
  <c r="W290" i="1"/>
  <c r="K290" i="1"/>
  <c r="G290" i="1"/>
  <c r="J290" i="1" s="1"/>
  <c r="AW289" i="1"/>
  <c r="AV289" i="1"/>
  <c r="AU289" i="1"/>
  <c r="AN289" i="1"/>
  <c r="AO289" i="1" s="1"/>
  <c r="AL289" i="1"/>
  <c r="AM289" i="1" s="1"/>
  <c r="AH289" i="1"/>
  <c r="AF289" i="1"/>
  <c r="Z289" i="1"/>
  <c r="W289" i="1"/>
  <c r="K289" i="1"/>
  <c r="AI289" i="1" s="1"/>
  <c r="G289" i="1"/>
  <c r="J289" i="1" s="1"/>
  <c r="AN288" i="1"/>
  <c r="AL288" i="1"/>
  <c r="Z288" i="1"/>
  <c r="W288" i="1"/>
  <c r="T288" i="1"/>
  <c r="S288" i="1"/>
  <c r="R288" i="1"/>
  <c r="P288" i="1"/>
  <c r="O288" i="1"/>
  <c r="K288" i="1"/>
  <c r="G288" i="1"/>
  <c r="J288" i="1" s="1"/>
  <c r="AL287" i="1"/>
  <c r="Z287" i="1"/>
  <c r="W287" i="1"/>
  <c r="T287" i="1"/>
  <c r="S287" i="1"/>
  <c r="AN287" i="1" s="1"/>
  <c r="R287" i="1"/>
  <c r="P287" i="1"/>
  <c r="O287" i="1"/>
  <c r="K287" i="1"/>
  <c r="G287" i="1"/>
  <c r="J287" i="1" s="1"/>
  <c r="AW286" i="1"/>
  <c r="AV286" i="1"/>
  <c r="AL286" i="1"/>
  <c r="AM286" i="1" s="1"/>
  <c r="AH286" i="1"/>
  <c r="Z286" i="1"/>
  <c r="W286" i="1"/>
  <c r="T286" i="1"/>
  <c r="S286" i="1"/>
  <c r="AN286" i="1" s="1"/>
  <c r="R286" i="1"/>
  <c r="P286" i="1"/>
  <c r="O286" i="1"/>
  <c r="AF286" i="1" s="1"/>
  <c r="K286" i="1"/>
  <c r="AI286" i="1" s="1"/>
  <c r="G286" i="1"/>
  <c r="J286" i="1" s="1"/>
  <c r="AN285" i="1"/>
  <c r="AL285" i="1"/>
  <c r="Z285" i="1"/>
  <c r="W285" i="1"/>
  <c r="T285" i="1"/>
  <c r="S285" i="1"/>
  <c r="R285" i="1"/>
  <c r="P285" i="1"/>
  <c r="O285" i="1"/>
  <c r="K285" i="1"/>
  <c r="G285" i="1"/>
  <c r="J285" i="1" s="1"/>
  <c r="AN284" i="1"/>
  <c r="Z284" i="1"/>
  <c r="W284" i="1"/>
  <c r="T284" i="1"/>
  <c r="S284" i="1"/>
  <c r="R284" i="1"/>
  <c r="P284" i="1"/>
  <c r="O284" i="1"/>
  <c r="K284" i="1"/>
  <c r="G284" i="1"/>
  <c r="J284" i="1" s="1"/>
  <c r="AH283" i="1"/>
  <c r="AF283" i="1"/>
  <c r="Z283" i="1"/>
  <c r="W283" i="1"/>
  <c r="T283" i="1"/>
  <c r="AW283" i="1" s="1"/>
  <c r="S283" i="1"/>
  <c r="R283" i="1"/>
  <c r="P283" i="1"/>
  <c r="O283" i="1"/>
  <c r="K283" i="1"/>
  <c r="AI283" i="1" s="1"/>
  <c r="G283" i="1"/>
  <c r="J283" i="1" s="1"/>
  <c r="AN282" i="1"/>
  <c r="AO282" i="1" s="1"/>
  <c r="AL282" i="1"/>
  <c r="AM282" i="1" s="1"/>
  <c r="AD282" i="1"/>
  <c r="Z282" i="1"/>
  <c r="W282" i="1"/>
  <c r="K282" i="1"/>
  <c r="G282" i="1"/>
  <c r="J282" i="1" s="1"/>
  <c r="AN281" i="1"/>
  <c r="AO281" i="1" s="1"/>
  <c r="AL281" i="1"/>
  <c r="AM281" i="1" s="1"/>
  <c r="AD281" i="1"/>
  <c r="Z281" i="1"/>
  <c r="W281" i="1"/>
  <c r="K281" i="1"/>
  <c r="G281" i="1"/>
  <c r="J281" i="1" s="1"/>
  <c r="AW280" i="1"/>
  <c r="AV280" i="1"/>
  <c r="AU280" i="1"/>
  <c r="AN280" i="1"/>
  <c r="AO280" i="1" s="1"/>
  <c r="AL280" i="1"/>
  <c r="AM280" i="1" s="1"/>
  <c r="AH280" i="1"/>
  <c r="AF280" i="1"/>
  <c r="AD280" i="1"/>
  <c r="Z280" i="1"/>
  <c r="W280" i="1"/>
  <c r="K280" i="1"/>
  <c r="AI280" i="1" s="1"/>
  <c r="G280" i="1"/>
  <c r="J280" i="1" s="1"/>
  <c r="Z279" i="1"/>
  <c r="W279" i="1"/>
  <c r="K279" i="1"/>
  <c r="G279" i="1"/>
  <c r="J279" i="1" s="1"/>
  <c r="Z278" i="1"/>
  <c r="W278" i="1"/>
  <c r="K278" i="1"/>
  <c r="G278" i="1"/>
  <c r="J278" i="1" s="1"/>
  <c r="Z277" i="1"/>
  <c r="W277" i="1"/>
  <c r="K277" i="1"/>
  <c r="AI277" i="1" s="1"/>
  <c r="G277" i="1"/>
  <c r="J277" i="1" s="1"/>
  <c r="AN276" i="1"/>
  <c r="AO276" i="1" s="1"/>
  <c r="AL276" i="1"/>
  <c r="AM276" i="1" s="1"/>
  <c r="Z276" i="1"/>
  <c r="W276" i="1"/>
  <c r="K276" i="1"/>
  <c r="G276" i="1"/>
  <c r="J276" i="1" s="1"/>
  <c r="AN275" i="1"/>
  <c r="AO275" i="1" s="1"/>
  <c r="AL275" i="1"/>
  <c r="AM275" i="1" s="1"/>
  <c r="Z275" i="1"/>
  <c r="W275" i="1"/>
  <c r="K275" i="1"/>
  <c r="G275" i="1"/>
  <c r="J275" i="1" s="1"/>
  <c r="AW274" i="1"/>
  <c r="AV274" i="1"/>
  <c r="AU274" i="1"/>
  <c r="AN274" i="1"/>
  <c r="AO274" i="1" s="1"/>
  <c r="AL274" i="1"/>
  <c r="AM274" i="1" s="1"/>
  <c r="AH274" i="1"/>
  <c r="AF274" i="1"/>
  <c r="Z274" i="1"/>
  <c r="W274" i="1"/>
  <c r="K274" i="1"/>
  <c r="AI274" i="1" s="1"/>
  <c r="G274" i="1"/>
  <c r="J274" i="1" s="1"/>
  <c r="AN273" i="1"/>
  <c r="AO273" i="1" s="1"/>
  <c r="AL273" i="1"/>
  <c r="AM273" i="1" s="1"/>
  <c r="Z273" i="1"/>
  <c r="W273" i="1"/>
  <c r="K273" i="1"/>
  <c r="G273" i="1"/>
  <c r="J273" i="1" s="1"/>
  <c r="AN272" i="1"/>
  <c r="AO272" i="1" s="1"/>
  <c r="AL272" i="1"/>
  <c r="AM272" i="1" s="1"/>
  <c r="Z272" i="1"/>
  <c r="W272" i="1"/>
  <c r="K272" i="1"/>
  <c r="G272" i="1"/>
  <c r="J272" i="1" s="1"/>
  <c r="AW271" i="1"/>
  <c r="AV271" i="1"/>
  <c r="AU271" i="1"/>
  <c r="AN271" i="1"/>
  <c r="AO271" i="1" s="1"/>
  <c r="AL271" i="1"/>
  <c r="AM271" i="1" s="1"/>
  <c r="AH271" i="1"/>
  <c r="AF271" i="1"/>
  <c r="Z271" i="1"/>
  <c r="W271" i="1"/>
  <c r="K271" i="1"/>
  <c r="AI271" i="1" s="1"/>
  <c r="G271" i="1"/>
  <c r="J271" i="1" s="1"/>
  <c r="AN270" i="1"/>
  <c r="AO270" i="1" s="1"/>
  <c r="AL270" i="1"/>
  <c r="AM270" i="1" s="1"/>
  <c r="Z270" i="1"/>
  <c r="W270" i="1"/>
  <c r="K270" i="1"/>
  <c r="G270" i="1"/>
  <c r="J270" i="1" s="1"/>
  <c r="AN269" i="1"/>
  <c r="AO269" i="1" s="1"/>
  <c r="AL269" i="1"/>
  <c r="AM269" i="1" s="1"/>
  <c r="Z269" i="1"/>
  <c r="W269" i="1"/>
  <c r="K269" i="1"/>
  <c r="G269" i="1"/>
  <c r="J269" i="1" s="1"/>
  <c r="AW268" i="1"/>
  <c r="AV268" i="1"/>
  <c r="AU268" i="1"/>
  <c r="AN268" i="1"/>
  <c r="AO268" i="1" s="1"/>
  <c r="AL268" i="1"/>
  <c r="AM268" i="1" s="1"/>
  <c r="AH268" i="1"/>
  <c r="AF268" i="1"/>
  <c r="Z268" i="1"/>
  <c r="W268" i="1"/>
  <c r="K268" i="1"/>
  <c r="AI268" i="1" s="1"/>
  <c r="G268" i="1"/>
  <c r="J268" i="1" s="1"/>
  <c r="AN267" i="1"/>
  <c r="AO267" i="1" s="1"/>
  <c r="AL267" i="1"/>
  <c r="AM267" i="1" s="1"/>
  <c r="Z267" i="1"/>
  <c r="W267" i="1"/>
  <c r="K267" i="1"/>
  <c r="G267" i="1"/>
  <c r="J267" i="1" s="1"/>
  <c r="AN266" i="1"/>
  <c r="AO266" i="1" s="1"/>
  <c r="AL266" i="1"/>
  <c r="AM266" i="1" s="1"/>
  <c r="Z266" i="1"/>
  <c r="W266" i="1"/>
  <c r="K266" i="1"/>
  <c r="G266" i="1"/>
  <c r="J266" i="1" s="1"/>
  <c r="AW265" i="1"/>
  <c r="AV265" i="1"/>
  <c r="AU265" i="1"/>
  <c r="AN265" i="1"/>
  <c r="AO265" i="1" s="1"/>
  <c r="AL265" i="1"/>
  <c r="AM265" i="1" s="1"/>
  <c r="AH265" i="1"/>
  <c r="AF265" i="1"/>
  <c r="Z265" i="1"/>
  <c r="W265" i="1"/>
  <c r="K265" i="1"/>
  <c r="AI265" i="1" s="1"/>
  <c r="G265" i="1"/>
  <c r="J265" i="1" s="1"/>
  <c r="AN264" i="1"/>
  <c r="AO264" i="1" s="1"/>
  <c r="AL264" i="1"/>
  <c r="AM264" i="1" s="1"/>
  <c r="Z264" i="1"/>
  <c r="W264" i="1"/>
  <c r="K264" i="1"/>
  <c r="G264" i="1"/>
  <c r="J264" i="1" s="1"/>
  <c r="AN263" i="1"/>
  <c r="AO263" i="1" s="1"/>
  <c r="AL263" i="1"/>
  <c r="AM263" i="1" s="1"/>
  <c r="Z263" i="1"/>
  <c r="W263" i="1"/>
  <c r="K263" i="1"/>
  <c r="G263" i="1"/>
  <c r="J263" i="1" s="1"/>
  <c r="AW262" i="1"/>
  <c r="AV262" i="1"/>
  <c r="AU262" i="1"/>
  <c r="AN262" i="1"/>
  <c r="AO262" i="1" s="1"/>
  <c r="AL262" i="1"/>
  <c r="AM262" i="1" s="1"/>
  <c r="AH262" i="1"/>
  <c r="AF262" i="1"/>
  <c r="Z262" i="1"/>
  <c r="W262" i="1"/>
  <c r="K262" i="1"/>
  <c r="AI262" i="1" s="1"/>
  <c r="G262" i="1"/>
  <c r="J262" i="1" s="1"/>
  <c r="AN261" i="1"/>
  <c r="AO261" i="1" s="1"/>
  <c r="AL261" i="1"/>
  <c r="AM261" i="1" s="1"/>
  <c r="Z261" i="1"/>
  <c r="W261" i="1"/>
  <c r="K261" i="1"/>
  <c r="G261" i="1"/>
  <c r="J261" i="1" s="1"/>
  <c r="AN260" i="1"/>
  <c r="AO260" i="1" s="1"/>
  <c r="AL260" i="1"/>
  <c r="AM260" i="1" s="1"/>
  <c r="Z260" i="1"/>
  <c r="W260" i="1"/>
  <c r="K260" i="1"/>
  <c r="G260" i="1"/>
  <c r="J260" i="1" s="1"/>
  <c r="AW259" i="1"/>
  <c r="AV259" i="1"/>
  <c r="AU259" i="1"/>
  <c r="AN259" i="1"/>
  <c r="AO259" i="1" s="1"/>
  <c r="AL259" i="1"/>
  <c r="AM259" i="1" s="1"/>
  <c r="AH259" i="1"/>
  <c r="AF259" i="1"/>
  <c r="Z259" i="1"/>
  <c r="W259" i="1"/>
  <c r="K259" i="1"/>
  <c r="AI259" i="1" s="1"/>
  <c r="G259" i="1"/>
  <c r="J259" i="1" s="1"/>
  <c r="AN258" i="1"/>
  <c r="AO258" i="1" s="1"/>
  <c r="AL258" i="1"/>
  <c r="AM258" i="1" s="1"/>
  <c r="Z258" i="1"/>
  <c r="W258" i="1"/>
  <c r="K258" i="1"/>
  <c r="G258" i="1"/>
  <c r="J258" i="1" s="1"/>
  <c r="AN257" i="1"/>
  <c r="AO257" i="1" s="1"/>
  <c r="AL257" i="1"/>
  <c r="AM257" i="1" s="1"/>
  <c r="Z257" i="1"/>
  <c r="W257" i="1"/>
  <c r="K257" i="1"/>
  <c r="G257" i="1"/>
  <c r="J257" i="1" s="1"/>
  <c r="AW256" i="1"/>
  <c r="AV256" i="1"/>
  <c r="AU256" i="1"/>
  <c r="AN256" i="1"/>
  <c r="AO256" i="1" s="1"/>
  <c r="AL256" i="1"/>
  <c r="AM256" i="1" s="1"/>
  <c r="AH256" i="1"/>
  <c r="AF256" i="1"/>
  <c r="Z256" i="1"/>
  <c r="W256" i="1"/>
  <c r="K256" i="1"/>
  <c r="AI256" i="1" s="1"/>
  <c r="G256" i="1"/>
  <c r="J256" i="1" s="1"/>
  <c r="AN255" i="1"/>
  <c r="AO255" i="1" s="1"/>
  <c r="AL255" i="1"/>
  <c r="AM255" i="1" s="1"/>
  <c r="Z255" i="1"/>
  <c r="W255" i="1"/>
  <c r="K255" i="1"/>
  <c r="G255" i="1"/>
  <c r="J255" i="1" s="1"/>
  <c r="AN254" i="1"/>
  <c r="AO254" i="1" s="1"/>
  <c r="AL254" i="1"/>
  <c r="AM254" i="1" s="1"/>
  <c r="Z254" i="1"/>
  <c r="W254" i="1"/>
  <c r="K254" i="1"/>
  <c r="G254" i="1"/>
  <c r="J254" i="1" s="1"/>
  <c r="AW253" i="1"/>
  <c r="AV253" i="1"/>
  <c r="AU253" i="1"/>
  <c r="AO253" i="1"/>
  <c r="AN253" i="1"/>
  <c r="AL253" i="1"/>
  <c r="AM253" i="1" s="1"/>
  <c r="AH253" i="1"/>
  <c r="AF253" i="1"/>
  <c r="Z253" i="1"/>
  <c r="W253" i="1"/>
  <c r="K253" i="1"/>
  <c r="AI253" i="1" s="1"/>
  <c r="G253" i="1"/>
  <c r="J253" i="1" s="1"/>
  <c r="AN252" i="1"/>
  <c r="AO252" i="1" s="1"/>
  <c r="AL252" i="1"/>
  <c r="AM252" i="1" s="1"/>
  <c r="Z252" i="1"/>
  <c r="W252" i="1"/>
  <c r="K252" i="1"/>
  <c r="G252" i="1"/>
  <c r="J252" i="1" s="1"/>
  <c r="AN251" i="1"/>
  <c r="AO251" i="1" s="1"/>
  <c r="AL251" i="1"/>
  <c r="AM251" i="1" s="1"/>
  <c r="Z251" i="1"/>
  <c r="W251" i="1"/>
  <c r="K251" i="1"/>
  <c r="G251" i="1"/>
  <c r="J251" i="1" s="1"/>
  <c r="AW250" i="1"/>
  <c r="AV250" i="1"/>
  <c r="AU250" i="1"/>
  <c r="AN250" i="1"/>
  <c r="AO250" i="1" s="1"/>
  <c r="AL250" i="1"/>
  <c r="AM250" i="1" s="1"/>
  <c r="AH250" i="1"/>
  <c r="AF250" i="1"/>
  <c r="Z250" i="1"/>
  <c r="W250" i="1"/>
  <c r="K250" i="1"/>
  <c r="AI250" i="1" s="1"/>
  <c r="G250" i="1"/>
  <c r="J250" i="1" s="1"/>
  <c r="AN249" i="1"/>
  <c r="AO249" i="1" s="1"/>
  <c r="AL249" i="1"/>
  <c r="AM249" i="1" s="1"/>
  <c r="Z249" i="1"/>
  <c r="W249" i="1"/>
  <c r="K249" i="1"/>
  <c r="G249" i="1"/>
  <c r="J249" i="1" s="1"/>
  <c r="AN248" i="1"/>
  <c r="AO248" i="1" s="1"/>
  <c r="AL248" i="1"/>
  <c r="AM248" i="1" s="1"/>
  <c r="Z248" i="1"/>
  <c r="W248" i="1"/>
  <c r="K248" i="1"/>
  <c r="G248" i="1"/>
  <c r="J248" i="1" s="1"/>
  <c r="AW247" i="1"/>
  <c r="AV247" i="1"/>
  <c r="AU247" i="1"/>
  <c r="AN247" i="1"/>
  <c r="AO247" i="1" s="1"/>
  <c r="AL247" i="1"/>
  <c r="AM247" i="1" s="1"/>
  <c r="AH247" i="1"/>
  <c r="AF247" i="1"/>
  <c r="Z247" i="1"/>
  <c r="W247" i="1"/>
  <c r="K247" i="1"/>
  <c r="AI247" i="1" s="1"/>
  <c r="G247" i="1"/>
  <c r="J247" i="1" s="1"/>
  <c r="AN246" i="1"/>
  <c r="AO246" i="1" s="1"/>
  <c r="AL246" i="1"/>
  <c r="AM246" i="1" s="1"/>
  <c r="Z246" i="1"/>
  <c r="W246" i="1"/>
  <c r="K246" i="1"/>
  <c r="G246" i="1"/>
  <c r="J246" i="1" s="1"/>
  <c r="AN245" i="1"/>
  <c r="AO245" i="1" s="1"/>
  <c r="AL245" i="1"/>
  <c r="AM245" i="1" s="1"/>
  <c r="Z245" i="1"/>
  <c r="W245" i="1"/>
  <c r="K245" i="1"/>
  <c r="G245" i="1"/>
  <c r="J245" i="1" s="1"/>
  <c r="AW244" i="1"/>
  <c r="AV244" i="1"/>
  <c r="AU244" i="1"/>
  <c r="AN244" i="1"/>
  <c r="AO244" i="1" s="1"/>
  <c r="AL244" i="1"/>
  <c r="AM244" i="1" s="1"/>
  <c r="AH244" i="1"/>
  <c r="AF244" i="1"/>
  <c r="Z244" i="1"/>
  <c r="W244" i="1"/>
  <c r="K244" i="1"/>
  <c r="AI244" i="1" s="1"/>
  <c r="G244" i="1"/>
  <c r="J244" i="1" s="1"/>
  <c r="AN243" i="1"/>
  <c r="AO243" i="1" s="1"/>
  <c r="AL243" i="1"/>
  <c r="AM243" i="1" s="1"/>
  <c r="Z243" i="1"/>
  <c r="W243" i="1"/>
  <c r="K243" i="1"/>
  <c r="G243" i="1"/>
  <c r="J243" i="1" s="1"/>
  <c r="AN242" i="1"/>
  <c r="AO242" i="1" s="1"/>
  <c r="AL242" i="1"/>
  <c r="AM242" i="1" s="1"/>
  <c r="Z242" i="1"/>
  <c r="W242" i="1"/>
  <c r="K242" i="1"/>
  <c r="G242" i="1"/>
  <c r="J242" i="1" s="1"/>
  <c r="AW241" i="1"/>
  <c r="AV241" i="1"/>
  <c r="AU241" i="1"/>
  <c r="AN241" i="1"/>
  <c r="AO241" i="1" s="1"/>
  <c r="AL241" i="1"/>
  <c r="AM241" i="1" s="1"/>
  <c r="AH241" i="1"/>
  <c r="AF241" i="1"/>
  <c r="Z241" i="1"/>
  <c r="W241" i="1"/>
  <c r="K241" i="1"/>
  <c r="AI241" i="1" s="1"/>
  <c r="G241" i="1"/>
  <c r="J241" i="1" s="1"/>
  <c r="AN240" i="1"/>
  <c r="AO240" i="1" s="1"/>
  <c r="AL240" i="1"/>
  <c r="AM240" i="1" s="1"/>
  <c r="Z240" i="1"/>
  <c r="W240" i="1"/>
  <c r="K240" i="1"/>
  <c r="G240" i="1"/>
  <c r="J240" i="1" s="1"/>
  <c r="AN239" i="1"/>
  <c r="AO239" i="1" s="1"/>
  <c r="AL239" i="1"/>
  <c r="AM239" i="1" s="1"/>
  <c r="Z239" i="1"/>
  <c r="W239" i="1"/>
  <c r="K239" i="1"/>
  <c r="G239" i="1"/>
  <c r="J239" i="1" s="1"/>
  <c r="AW238" i="1"/>
  <c r="AV238" i="1"/>
  <c r="AU238" i="1"/>
  <c r="AN238" i="1"/>
  <c r="AO238" i="1" s="1"/>
  <c r="AL238" i="1"/>
  <c r="AM238" i="1" s="1"/>
  <c r="AH238" i="1"/>
  <c r="AF238" i="1"/>
  <c r="Z238" i="1"/>
  <c r="W238" i="1"/>
  <c r="K238" i="1"/>
  <c r="AI238" i="1" s="1"/>
  <c r="G238" i="1"/>
  <c r="J238" i="1" s="1"/>
  <c r="AN237" i="1"/>
  <c r="AO237" i="1" s="1"/>
  <c r="AL237" i="1"/>
  <c r="AM237" i="1" s="1"/>
  <c r="Z237" i="1"/>
  <c r="W237" i="1"/>
  <c r="K237" i="1"/>
  <c r="G237" i="1"/>
  <c r="J237" i="1" s="1"/>
  <c r="AN236" i="1"/>
  <c r="AO236" i="1" s="1"/>
  <c r="AL236" i="1"/>
  <c r="AM236" i="1" s="1"/>
  <c r="Z236" i="1"/>
  <c r="W236" i="1"/>
  <c r="K236" i="1"/>
  <c r="G236" i="1"/>
  <c r="J236" i="1" s="1"/>
  <c r="AW235" i="1"/>
  <c r="AV235" i="1"/>
  <c r="AU235" i="1"/>
  <c r="AN235" i="1"/>
  <c r="AO235" i="1" s="1"/>
  <c r="AL235" i="1"/>
  <c r="AM235" i="1" s="1"/>
  <c r="AH235" i="1"/>
  <c r="AF235" i="1"/>
  <c r="Z235" i="1"/>
  <c r="W235" i="1"/>
  <c r="K235" i="1"/>
  <c r="AI235" i="1" s="1"/>
  <c r="G235" i="1"/>
  <c r="J235" i="1" s="1"/>
  <c r="AN234" i="1"/>
  <c r="AO234" i="1" s="1"/>
  <c r="AL234" i="1"/>
  <c r="AM234" i="1" s="1"/>
  <c r="Z234" i="1"/>
  <c r="W234" i="1"/>
  <c r="K234" i="1"/>
  <c r="G234" i="1"/>
  <c r="J234" i="1" s="1"/>
  <c r="AN233" i="1"/>
  <c r="AO233" i="1" s="1"/>
  <c r="AL233" i="1"/>
  <c r="AM233" i="1" s="1"/>
  <c r="AB233" i="1"/>
  <c r="Z233" i="1"/>
  <c r="W233" i="1"/>
  <c r="K233" i="1"/>
  <c r="G233" i="1"/>
  <c r="J233" i="1" s="1"/>
  <c r="AN232" i="1"/>
  <c r="AO232" i="1" s="1"/>
  <c r="AL232" i="1"/>
  <c r="AM232" i="1" s="1"/>
  <c r="AB232" i="1"/>
  <c r="Z232" i="1"/>
  <c r="W232" i="1"/>
  <c r="K232" i="1"/>
  <c r="G232" i="1"/>
  <c r="J232" i="1" s="1"/>
  <c r="AN231" i="1"/>
  <c r="AO231" i="1" s="1"/>
  <c r="AL231" i="1"/>
  <c r="AM231" i="1" s="1"/>
  <c r="AB231" i="1"/>
  <c r="Z231" i="1"/>
  <c r="W231" i="1"/>
  <c r="K231" i="1"/>
  <c r="G231" i="1"/>
  <c r="J231" i="1" s="1"/>
  <c r="AN230" i="1"/>
  <c r="AO230" i="1" s="1"/>
  <c r="AL230" i="1"/>
  <c r="AM230" i="1" s="1"/>
  <c r="AB230" i="1"/>
  <c r="Z230" i="1"/>
  <c r="W230" i="1"/>
  <c r="K230" i="1"/>
  <c r="G230" i="1"/>
  <c r="J230" i="1" s="1"/>
  <c r="AW229" i="1"/>
  <c r="AN229" i="1"/>
  <c r="AO229" i="1" s="1"/>
  <c r="AL229" i="1"/>
  <c r="AM229" i="1" s="1"/>
  <c r="AH229" i="1"/>
  <c r="Z229" i="1"/>
  <c r="W229" i="1"/>
  <c r="K229" i="1"/>
  <c r="AI229" i="1" s="1"/>
  <c r="G229" i="1"/>
  <c r="J229" i="1" s="1"/>
  <c r="AN228" i="1"/>
  <c r="AO228" i="1" s="1"/>
  <c r="AL228" i="1"/>
  <c r="AM228" i="1" s="1"/>
  <c r="Z228" i="1"/>
  <c r="W228" i="1"/>
  <c r="K228" i="1"/>
  <c r="G228" i="1"/>
  <c r="J228" i="1" s="1"/>
  <c r="AN227" i="1"/>
  <c r="AO227" i="1" s="1"/>
  <c r="AL227" i="1"/>
  <c r="AM227" i="1" s="1"/>
  <c r="Z227" i="1"/>
  <c r="W227" i="1"/>
  <c r="K227" i="1"/>
  <c r="G227" i="1"/>
  <c r="J227" i="1" s="1"/>
  <c r="AW226" i="1"/>
  <c r="AV226" i="1"/>
  <c r="AU226" i="1"/>
  <c r="AN226" i="1"/>
  <c r="AO226" i="1" s="1"/>
  <c r="AL226" i="1"/>
  <c r="AM226" i="1" s="1"/>
  <c r="AH226" i="1"/>
  <c r="AF226" i="1"/>
  <c r="Z226" i="1"/>
  <c r="W226" i="1"/>
  <c r="K226" i="1"/>
  <c r="AI226" i="1" s="1"/>
  <c r="G226" i="1"/>
  <c r="J226" i="1" s="1"/>
  <c r="AN225" i="1"/>
  <c r="AO225" i="1" s="1"/>
  <c r="AL225" i="1"/>
  <c r="AM225" i="1" s="1"/>
  <c r="Z225" i="1"/>
  <c r="W225" i="1"/>
  <c r="K225" i="1"/>
  <c r="G225" i="1"/>
  <c r="J225" i="1" s="1"/>
  <c r="AN224" i="1"/>
  <c r="AO224" i="1" s="1"/>
  <c r="AL224" i="1"/>
  <c r="AM224" i="1" s="1"/>
  <c r="AB224" i="1"/>
  <c r="Z224" i="1"/>
  <c r="W224" i="1"/>
  <c r="K224" i="1"/>
  <c r="G224" i="1"/>
  <c r="J224" i="1" s="1"/>
  <c r="AN223" i="1"/>
  <c r="AO223" i="1" s="1"/>
  <c r="AL223" i="1"/>
  <c r="AM223" i="1" s="1"/>
  <c r="AB223" i="1"/>
  <c r="Z223" i="1"/>
  <c r="W223" i="1"/>
  <c r="K223" i="1"/>
  <c r="G223" i="1"/>
  <c r="J223" i="1" s="1"/>
  <c r="AN222" i="1"/>
  <c r="AO222" i="1" s="1"/>
  <c r="AL222" i="1"/>
  <c r="AM222" i="1" s="1"/>
  <c r="AB222" i="1"/>
  <c r="Z222" i="1"/>
  <c r="W222" i="1"/>
  <c r="K222" i="1"/>
  <c r="G222" i="1"/>
  <c r="J222" i="1" s="1"/>
  <c r="AN221" i="1"/>
  <c r="AO221" i="1" s="1"/>
  <c r="AL221" i="1"/>
  <c r="AM221" i="1" s="1"/>
  <c r="AB221" i="1"/>
  <c r="Z221" i="1"/>
  <c r="W221" i="1"/>
  <c r="K221" i="1"/>
  <c r="G221" i="1"/>
  <c r="J221" i="1" s="1"/>
  <c r="AN220" i="1"/>
  <c r="AO220" i="1" s="1"/>
  <c r="AL220" i="1"/>
  <c r="AM220" i="1" s="1"/>
  <c r="AH220" i="1"/>
  <c r="Z220" i="1"/>
  <c r="W220" i="1"/>
  <c r="K220" i="1"/>
  <c r="AI220" i="1" s="1"/>
  <c r="G220" i="1"/>
  <c r="J220" i="1" s="1"/>
  <c r="AN219" i="1"/>
  <c r="AO219" i="1" s="1"/>
  <c r="AL219" i="1"/>
  <c r="AM219" i="1" s="1"/>
  <c r="Z219" i="1"/>
  <c r="W219" i="1"/>
  <c r="K219" i="1"/>
  <c r="G219" i="1"/>
  <c r="J219" i="1" s="1"/>
  <c r="AN218" i="1"/>
  <c r="AO218" i="1" s="1"/>
  <c r="AL218" i="1"/>
  <c r="AM218" i="1" s="1"/>
  <c r="Z218" i="1"/>
  <c r="W218" i="1"/>
  <c r="K218" i="1"/>
  <c r="G218" i="1"/>
  <c r="J218" i="1" s="1"/>
  <c r="AW217" i="1"/>
  <c r="AV217" i="1"/>
  <c r="AU217" i="1"/>
  <c r="AN217" i="1"/>
  <c r="AO217" i="1" s="1"/>
  <c r="AL217" i="1"/>
  <c r="AM217" i="1" s="1"/>
  <c r="AH217" i="1"/>
  <c r="AF217" i="1"/>
  <c r="Z217" i="1"/>
  <c r="W217" i="1"/>
  <c r="K217" i="1"/>
  <c r="AI217" i="1" s="1"/>
  <c r="G217" i="1"/>
  <c r="J217" i="1" s="1"/>
  <c r="AN216" i="1"/>
  <c r="AO216" i="1" s="1"/>
  <c r="AL216" i="1"/>
  <c r="AM216" i="1" s="1"/>
  <c r="Z216" i="1"/>
  <c r="W216" i="1"/>
  <c r="K216" i="1"/>
  <c r="G216" i="1"/>
  <c r="J216" i="1" s="1"/>
  <c r="AN215" i="1"/>
  <c r="AO215" i="1" s="1"/>
  <c r="AL215" i="1"/>
  <c r="AM215" i="1" s="1"/>
  <c r="Z215" i="1"/>
  <c r="W215" i="1"/>
  <c r="K215" i="1"/>
  <c r="G215" i="1"/>
  <c r="J215" i="1" s="1"/>
  <c r="AW214" i="1"/>
  <c r="AV214" i="1"/>
  <c r="AU214" i="1"/>
  <c r="AN214" i="1"/>
  <c r="AO214" i="1" s="1"/>
  <c r="AL214" i="1"/>
  <c r="AM214" i="1" s="1"/>
  <c r="AH214" i="1"/>
  <c r="AF214" i="1"/>
  <c r="Z214" i="1"/>
  <c r="W214" i="1"/>
  <c r="K214" i="1"/>
  <c r="AI214" i="1" s="1"/>
  <c r="G214" i="1"/>
  <c r="J214" i="1" s="1"/>
  <c r="AN213" i="1"/>
  <c r="AO213" i="1" s="1"/>
  <c r="AL213" i="1"/>
  <c r="AM213" i="1" s="1"/>
  <c r="Z213" i="1"/>
  <c r="W213" i="1"/>
  <c r="K213" i="1"/>
  <c r="G213" i="1"/>
  <c r="J213" i="1" s="1"/>
  <c r="AN212" i="1"/>
  <c r="AO212" i="1" s="1"/>
  <c r="AL212" i="1"/>
  <c r="AM212" i="1" s="1"/>
  <c r="AB212" i="1"/>
  <c r="Z212" i="1"/>
  <c r="W212" i="1"/>
  <c r="K212" i="1"/>
  <c r="G212" i="1"/>
  <c r="J212" i="1" s="1"/>
  <c r="AN211" i="1"/>
  <c r="AO211" i="1" s="1"/>
  <c r="AL211" i="1"/>
  <c r="AM211" i="1" s="1"/>
  <c r="AB211" i="1"/>
  <c r="Z211" i="1"/>
  <c r="W211" i="1"/>
  <c r="K211" i="1"/>
  <c r="G211" i="1"/>
  <c r="J211" i="1" s="1"/>
  <c r="AN210" i="1"/>
  <c r="AO210" i="1" s="1"/>
  <c r="AL210" i="1"/>
  <c r="AM210" i="1" s="1"/>
  <c r="AB210" i="1"/>
  <c r="AW208" i="1" s="1"/>
  <c r="Z210" i="1"/>
  <c r="W210" i="1"/>
  <c r="K210" i="1"/>
  <c r="G210" i="1"/>
  <c r="J210" i="1" s="1"/>
  <c r="AN209" i="1"/>
  <c r="AO209" i="1" s="1"/>
  <c r="AL209" i="1"/>
  <c r="AM209" i="1" s="1"/>
  <c r="AB209" i="1"/>
  <c r="Z209" i="1"/>
  <c r="W209" i="1"/>
  <c r="K209" i="1"/>
  <c r="G209" i="1"/>
  <c r="J209" i="1" s="1"/>
  <c r="AU208" i="1"/>
  <c r="AN208" i="1"/>
  <c r="AO208" i="1" s="1"/>
  <c r="AL208" i="1"/>
  <c r="AM208" i="1" s="1"/>
  <c r="AH208" i="1"/>
  <c r="AF208" i="1"/>
  <c r="Z208" i="1"/>
  <c r="W208" i="1"/>
  <c r="K208" i="1"/>
  <c r="AI208" i="1" s="1"/>
  <c r="G208" i="1"/>
  <c r="J208" i="1" s="1"/>
  <c r="AN207" i="1"/>
  <c r="AO207" i="1" s="1"/>
  <c r="AL207" i="1"/>
  <c r="AM207" i="1" s="1"/>
  <c r="Z207" i="1"/>
  <c r="W207" i="1"/>
  <c r="K207" i="1"/>
  <c r="G207" i="1"/>
  <c r="J207" i="1" s="1"/>
  <c r="AN206" i="1"/>
  <c r="AO206" i="1" s="1"/>
  <c r="AL206" i="1"/>
  <c r="AM206" i="1" s="1"/>
  <c r="Z206" i="1"/>
  <c r="W206" i="1"/>
  <c r="K206" i="1"/>
  <c r="G206" i="1"/>
  <c r="J206" i="1" s="1"/>
  <c r="AW205" i="1"/>
  <c r="AV205" i="1"/>
  <c r="AU205" i="1"/>
  <c r="AN205" i="1"/>
  <c r="AO205" i="1" s="1"/>
  <c r="AL205" i="1"/>
  <c r="AM205" i="1" s="1"/>
  <c r="AH205" i="1"/>
  <c r="AF205" i="1"/>
  <c r="Z205" i="1"/>
  <c r="W205" i="1"/>
  <c r="K205" i="1"/>
  <c r="AI205" i="1" s="1"/>
  <c r="G205" i="1"/>
  <c r="J205" i="1" s="1"/>
  <c r="AN204" i="1"/>
  <c r="AO204" i="1" s="1"/>
  <c r="AL204" i="1"/>
  <c r="AM204" i="1" s="1"/>
  <c r="Z204" i="1"/>
  <c r="W204" i="1"/>
  <c r="K204" i="1"/>
  <c r="G204" i="1"/>
  <c r="J204" i="1" s="1"/>
  <c r="AN203" i="1"/>
  <c r="AO203" i="1" s="1"/>
  <c r="AL203" i="1"/>
  <c r="AM203" i="1" s="1"/>
  <c r="Z203" i="1"/>
  <c r="W203" i="1"/>
  <c r="K203" i="1"/>
  <c r="G203" i="1"/>
  <c r="J203" i="1" s="1"/>
  <c r="AW202" i="1"/>
  <c r="AV202" i="1"/>
  <c r="AU202" i="1"/>
  <c r="AN202" i="1"/>
  <c r="AO202" i="1" s="1"/>
  <c r="AL202" i="1"/>
  <c r="AM202" i="1" s="1"/>
  <c r="AH202" i="1"/>
  <c r="AF202" i="1"/>
  <c r="Z202" i="1"/>
  <c r="W202" i="1"/>
  <c r="K202" i="1"/>
  <c r="AI202" i="1" s="1"/>
  <c r="G202" i="1"/>
  <c r="J202" i="1" s="1"/>
  <c r="AN201" i="1"/>
  <c r="AO201" i="1" s="1"/>
  <c r="AL201" i="1"/>
  <c r="AM201" i="1" s="1"/>
  <c r="Z201" i="1"/>
  <c r="W201" i="1"/>
  <c r="K201" i="1"/>
  <c r="G201" i="1"/>
  <c r="J201" i="1" s="1"/>
  <c r="AN200" i="1"/>
  <c r="AO200" i="1" s="1"/>
  <c r="AL200" i="1"/>
  <c r="AM200" i="1" s="1"/>
  <c r="Z200" i="1"/>
  <c r="W200" i="1"/>
  <c r="K200" i="1"/>
  <c r="G200" i="1"/>
  <c r="J200" i="1" s="1"/>
  <c r="AN199" i="1"/>
  <c r="AO199" i="1" s="1"/>
  <c r="AL199" i="1"/>
  <c r="AM199" i="1" s="1"/>
  <c r="Z199" i="1"/>
  <c r="W199" i="1"/>
  <c r="K199" i="1"/>
  <c r="G199" i="1"/>
  <c r="J199" i="1" s="1"/>
  <c r="AW198" i="1"/>
  <c r="AV198" i="1"/>
  <c r="AU198" i="1"/>
  <c r="AN198" i="1"/>
  <c r="AO198" i="1" s="1"/>
  <c r="AL198" i="1"/>
  <c r="AM198" i="1" s="1"/>
  <c r="AH198" i="1"/>
  <c r="AF198" i="1"/>
  <c r="Z198" i="1"/>
  <c r="W198" i="1"/>
  <c r="K198" i="1"/>
  <c r="AI198" i="1" s="1"/>
  <c r="G198" i="1"/>
  <c r="J198" i="1" s="1"/>
  <c r="AN197" i="1"/>
  <c r="AO197" i="1" s="1"/>
  <c r="AL197" i="1"/>
  <c r="AM197" i="1" s="1"/>
  <c r="Z197" i="1"/>
  <c r="W197" i="1"/>
  <c r="K197" i="1"/>
  <c r="G197" i="1"/>
  <c r="J197" i="1" s="1"/>
  <c r="AN196" i="1"/>
  <c r="AO196" i="1" s="1"/>
  <c r="AL196" i="1"/>
  <c r="AM196" i="1" s="1"/>
  <c r="Z196" i="1"/>
  <c r="W196" i="1"/>
  <c r="K196" i="1"/>
  <c r="G196" i="1"/>
  <c r="J196" i="1" s="1"/>
  <c r="AW195" i="1"/>
  <c r="AV195" i="1"/>
  <c r="AU195" i="1"/>
  <c r="AN195" i="1"/>
  <c r="AO195" i="1" s="1"/>
  <c r="AL195" i="1"/>
  <c r="AM195" i="1" s="1"/>
  <c r="AH195" i="1"/>
  <c r="AF195" i="1"/>
  <c r="Z195" i="1"/>
  <c r="W195" i="1"/>
  <c r="K195" i="1"/>
  <c r="AI195" i="1" s="1"/>
  <c r="G195" i="1"/>
  <c r="J195" i="1" s="1"/>
  <c r="AN194" i="1"/>
  <c r="AO194" i="1" s="1"/>
  <c r="AL194" i="1"/>
  <c r="AM194" i="1" s="1"/>
  <c r="Z194" i="1"/>
  <c r="W194" i="1"/>
  <c r="K194" i="1"/>
  <c r="G194" i="1"/>
  <c r="J194" i="1" s="1"/>
  <c r="AN193" i="1"/>
  <c r="AO193" i="1" s="1"/>
  <c r="AL193" i="1"/>
  <c r="AM193" i="1" s="1"/>
  <c r="Z193" i="1"/>
  <c r="W193" i="1"/>
  <c r="K193" i="1"/>
  <c r="G193" i="1"/>
  <c r="J193" i="1" s="1"/>
  <c r="AW192" i="1"/>
  <c r="AV192" i="1"/>
  <c r="AU192" i="1"/>
  <c r="AN192" i="1"/>
  <c r="AO192" i="1" s="1"/>
  <c r="AL192" i="1"/>
  <c r="AM192" i="1" s="1"/>
  <c r="AH192" i="1"/>
  <c r="AF192" i="1"/>
  <c r="Z192" i="1"/>
  <c r="W192" i="1"/>
  <c r="K192" i="1"/>
  <c r="AI192" i="1" s="1"/>
  <c r="G192" i="1"/>
  <c r="J192" i="1" s="1"/>
  <c r="AN191" i="1"/>
  <c r="AO191" i="1" s="1"/>
  <c r="AL191" i="1"/>
  <c r="AM191" i="1" s="1"/>
  <c r="AB191" i="1"/>
  <c r="Z191" i="1"/>
  <c r="W191" i="1"/>
  <c r="K191" i="1"/>
  <c r="G191" i="1"/>
  <c r="J191" i="1" s="1"/>
  <c r="AN190" i="1"/>
  <c r="AO190" i="1" s="1"/>
  <c r="AL190" i="1"/>
  <c r="AM190" i="1" s="1"/>
  <c r="AB190" i="1"/>
  <c r="AV186" i="1" s="1"/>
  <c r="Z190" i="1"/>
  <c r="W190" i="1"/>
  <c r="K190" i="1"/>
  <c r="G190" i="1"/>
  <c r="J190" i="1" s="1"/>
  <c r="AN189" i="1"/>
  <c r="AO189" i="1" s="1"/>
  <c r="AL189" i="1"/>
  <c r="AM189" i="1" s="1"/>
  <c r="AB189" i="1"/>
  <c r="Z189" i="1"/>
  <c r="W189" i="1"/>
  <c r="K189" i="1"/>
  <c r="G189" i="1"/>
  <c r="J189" i="1" s="1"/>
  <c r="AN188" i="1"/>
  <c r="AO188" i="1" s="1"/>
  <c r="AL188" i="1"/>
  <c r="AM188" i="1" s="1"/>
  <c r="AB188" i="1"/>
  <c r="Z188" i="1"/>
  <c r="W188" i="1"/>
  <c r="K188" i="1"/>
  <c r="G188" i="1"/>
  <c r="J188" i="1" s="1"/>
  <c r="AN187" i="1"/>
  <c r="AO187" i="1" s="1"/>
  <c r="AL187" i="1"/>
  <c r="AM187" i="1" s="1"/>
  <c r="AB187" i="1"/>
  <c r="Z187" i="1"/>
  <c r="W187" i="1"/>
  <c r="K187" i="1"/>
  <c r="G187" i="1"/>
  <c r="J187" i="1" s="1"/>
  <c r="AN186" i="1"/>
  <c r="AO186" i="1" s="1"/>
  <c r="AL186" i="1"/>
  <c r="AM186" i="1" s="1"/>
  <c r="AH186" i="1"/>
  <c r="AB186" i="1"/>
  <c r="AW186" i="1" s="1"/>
  <c r="Z186" i="1"/>
  <c r="W186" i="1"/>
  <c r="K186" i="1"/>
  <c r="AI186" i="1" s="1"/>
  <c r="G186" i="1"/>
  <c r="J186" i="1" s="1"/>
  <c r="AN185" i="1"/>
  <c r="AO185" i="1" s="1"/>
  <c r="AL185" i="1"/>
  <c r="AM185" i="1" s="1"/>
  <c r="Z185" i="1"/>
  <c r="W185" i="1"/>
  <c r="K185" i="1"/>
  <c r="G185" i="1"/>
  <c r="J185" i="1" s="1"/>
  <c r="AN184" i="1"/>
  <c r="AO184" i="1" s="1"/>
  <c r="AL184" i="1"/>
  <c r="AM184" i="1" s="1"/>
  <c r="Z184" i="1"/>
  <c r="W184" i="1"/>
  <c r="K184" i="1"/>
  <c r="G184" i="1"/>
  <c r="J184" i="1" s="1"/>
  <c r="AN183" i="1"/>
  <c r="AO183" i="1" s="1"/>
  <c r="AL183" i="1"/>
  <c r="AM183" i="1" s="1"/>
  <c r="Z183" i="1"/>
  <c r="W183" i="1"/>
  <c r="K183" i="1"/>
  <c r="G183" i="1"/>
  <c r="J183" i="1" s="1"/>
  <c r="AW182" i="1"/>
  <c r="AV182" i="1"/>
  <c r="AU182" i="1"/>
  <c r="AN182" i="1"/>
  <c r="AO182" i="1" s="1"/>
  <c r="AL182" i="1"/>
  <c r="AM182" i="1" s="1"/>
  <c r="AH182" i="1"/>
  <c r="AF182" i="1"/>
  <c r="Z182" i="1"/>
  <c r="W182" i="1"/>
  <c r="K182" i="1"/>
  <c r="AI182" i="1" s="1"/>
  <c r="G182" i="1"/>
  <c r="J182" i="1" s="1"/>
  <c r="AN181" i="1"/>
  <c r="AO181" i="1" s="1"/>
  <c r="AL181" i="1"/>
  <c r="AM181" i="1" s="1"/>
  <c r="Z181" i="1"/>
  <c r="W181" i="1"/>
  <c r="K181" i="1"/>
  <c r="G181" i="1"/>
  <c r="J181" i="1" s="1"/>
  <c r="AN180" i="1"/>
  <c r="AO180" i="1" s="1"/>
  <c r="AL180" i="1"/>
  <c r="AM180" i="1" s="1"/>
  <c r="Z180" i="1"/>
  <c r="W180" i="1"/>
  <c r="K180" i="1"/>
  <c r="G180" i="1"/>
  <c r="J180" i="1" s="1"/>
  <c r="AW179" i="1"/>
  <c r="AV179" i="1"/>
  <c r="AU179" i="1"/>
  <c r="AN179" i="1"/>
  <c r="AO179" i="1" s="1"/>
  <c r="AL179" i="1"/>
  <c r="AM179" i="1" s="1"/>
  <c r="AH179" i="1"/>
  <c r="AF179" i="1"/>
  <c r="Z179" i="1"/>
  <c r="W179" i="1"/>
  <c r="K179" i="1"/>
  <c r="AI179" i="1" s="1"/>
  <c r="G179" i="1"/>
  <c r="J179" i="1" s="1"/>
  <c r="AN178" i="1"/>
  <c r="AO178" i="1" s="1"/>
  <c r="AL178" i="1"/>
  <c r="AM178" i="1" s="1"/>
  <c r="Z178" i="1"/>
  <c r="W178" i="1"/>
  <c r="K178" i="1"/>
  <c r="G178" i="1"/>
  <c r="J178" i="1" s="1"/>
  <c r="AN177" i="1"/>
  <c r="AO177" i="1" s="1"/>
  <c r="AL177" i="1"/>
  <c r="AM177" i="1" s="1"/>
  <c r="Z177" i="1"/>
  <c r="W177" i="1"/>
  <c r="K177" i="1"/>
  <c r="G177" i="1"/>
  <c r="J177" i="1" s="1"/>
  <c r="AW176" i="1"/>
  <c r="AV176" i="1"/>
  <c r="AU176" i="1"/>
  <c r="AN176" i="1"/>
  <c r="AO176" i="1" s="1"/>
  <c r="AL176" i="1"/>
  <c r="AM176" i="1" s="1"/>
  <c r="AH176" i="1"/>
  <c r="AF176" i="1"/>
  <c r="Z176" i="1"/>
  <c r="W176" i="1"/>
  <c r="K176" i="1"/>
  <c r="AI176" i="1" s="1"/>
  <c r="G176" i="1"/>
  <c r="J176" i="1" s="1"/>
  <c r="AN175" i="1"/>
  <c r="AO175" i="1" s="1"/>
  <c r="AL175" i="1"/>
  <c r="AM175" i="1" s="1"/>
  <c r="Z175" i="1"/>
  <c r="W175" i="1"/>
  <c r="K175" i="1"/>
  <c r="G175" i="1"/>
  <c r="J175" i="1" s="1"/>
  <c r="AN174" i="1"/>
  <c r="AO174" i="1" s="1"/>
  <c r="AL174" i="1"/>
  <c r="AM174" i="1" s="1"/>
  <c r="Z174" i="1"/>
  <c r="W174" i="1"/>
  <c r="K174" i="1"/>
  <c r="G174" i="1"/>
  <c r="J174" i="1" s="1"/>
  <c r="AW173" i="1"/>
  <c r="AV173" i="1"/>
  <c r="AU173" i="1"/>
  <c r="AN173" i="1"/>
  <c r="AO173" i="1" s="1"/>
  <c r="AL173" i="1"/>
  <c r="AM173" i="1" s="1"/>
  <c r="AH173" i="1"/>
  <c r="AF173" i="1"/>
  <c r="Z173" i="1"/>
  <c r="W173" i="1"/>
  <c r="K173" i="1"/>
  <c r="AI173" i="1" s="1"/>
  <c r="G173" i="1"/>
  <c r="J173" i="1" s="1"/>
  <c r="AW172" i="1"/>
  <c r="AV172" i="1"/>
  <c r="AU172" i="1"/>
  <c r="AN172" i="1"/>
  <c r="AO172" i="1" s="1"/>
  <c r="AS172" i="1" s="1"/>
  <c r="AL172" i="1"/>
  <c r="AM172" i="1" s="1"/>
  <c r="AQ172" i="1" s="1"/>
  <c r="AH172" i="1"/>
  <c r="AF172" i="1"/>
  <c r="Z172" i="1"/>
  <c r="W172" i="1"/>
  <c r="K172" i="1"/>
  <c r="AI172" i="1" s="1"/>
  <c r="G172" i="1"/>
  <c r="J172" i="1" s="1"/>
  <c r="AN171" i="1"/>
  <c r="AO171" i="1" s="1"/>
  <c r="AL171" i="1"/>
  <c r="AM171" i="1" s="1"/>
  <c r="Z171" i="1"/>
  <c r="W171" i="1"/>
  <c r="K171" i="1"/>
  <c r="G171" i="1"/>
  <c r="J171" i="1" s="1"/>
  <c r="AN170" i="1"/>
  <c r="AO170" i="1" s="1"/>
  <c r="AL170" i="1"/>
  <c r="AM170" i="1" s="1"/>
  <c r="Z170" i="1"/>
  <c r="W170" i="1"/>
  <c r="K170" i="1"/>
  <c r="G170" i="1"/>
  <c r="J170" i="1" s="1"/>
  <c r="AW169" i="1"/>
  <c r="AV169" i="1"/>
  <c r="AU169" i="1"/>
  <c r="AN169" i="1"/>
  <c r="AO169" i="1" s="1"/>
  <c r="AL169" i="1"/>
  <c r="AM169" i="1" s="1"/>
  <c r="AH169" i="1"/>
  <c r="AF169" i="1"/>
  <c r="Z169" i="1"/>
  <c r="W169" i="1"/>
  <c r="K169" i="1"/>
  <c r="AI169" i="1" s="1"/>
  <c r="G169" i="1"/>
  <c r="J169" i="1" s="1"/>
  <c r="AN168" i="1"/>
  <c r="AO168" i="1" s="1"/>
  <c r="AL168" i="1"/>
  <c r="AM168" i="1" s="1"/>
  <c r="Z168" i="1"/>
  <c r="W168" i="1"/>
  <c r="K168" i="1"/>
  <c r="G168" i="1"/>
  <c r="J168" i="1" s="1"/>
  <c r="AN167" i="1"/>
  <c r="AO167" i="1" s="1"/>
  <c r="AL167" i="1"/>
  <c r="AM167" i="1" s="1"/>
  <c r="Z167" i="1"/>
  <c r="W167" i="1"/>
  <c r="K167" i="1"/>
  <c r="G167" i="1"/>
  <c r="J167" i="1" s="1"/>
  <c r="AW166" i="1"/>
  <c r="AV166" i="1"/>
  <c r="AU166" i="1"/>
  <c r="AN166" i="1"/>
  <c r="AO166" i="1" s="1"/>
  <c r="AL166" i="1"/>
  <c r="AM166" i="1" s="1"/>
  <c r="AH166" i="1"/>
  <c r="AF166" i="1"/>
  <c r="Z166" i="1"/>
  <c r="W166" i="1"/>
  <c r="K166" i="1"/>
  <c r="AI166" i="1" s="1"/>
  <c r="G166" i="1"/>
  <c r="J166" i="1" s="1"/>
  <c r="AN165" i="1"/>
  <c r="AO165" i="1" s="1"/>
  <c r="AL165" i="1"/>
  <c r="AM165" i="1" s="1"/>
  <c r="Z165" i="1"/>
  <c r="W165" i="1"/>
  <c r="K165" i="1"/>
  <c r="G165" i="1"/>
  <c r="J165" i="1" s="1"/>
  <c r="AN164" i="1"/>
  <c r="AO164" i="1" s="1"/>
  <c r="AL164" i="1"/>
  <c r="AM164" i="1" s="1"/>
  <c r="Z164" i="1"/>
  <c r="W164" i="1"/>
  <c r="K164" i="1"/>
  <c r="G164" i="1"/>
  <c r="J164" i="1" s="1"/>
  <c r="AW163" i="1"/>
  <c r="AV163" i="1"/>
  <c r="AU163" i="1"/>
  <c r="AN163" i="1"/>
  <c r="AO163" i="1" s="1"/>
  <c r="AL163" i="1"/>
  <c r="AM163" i="1" s="1"/>
  <c r="AH163" i="1"/>
  <c r="AF163" i="1"/>
  <c r="Z163" i="1"/>
  <c r="W163" i="1"/>
  <c r="K163" i="1"/>
  <c r="AI163" i="1" s="1"/>
  <c r="G163" i="1"/>
  <c r="J163" i="1" s="1"/>
  <c r="AN162" i="1"/>
  <c r="AO162" i="1" s="1"/>
  <c r="AL162" i="1"/>
  <c r="AM162" i="1" s="1"/>
  <c r="Z162" i="1"/>
  <c r="W162" i="1"/>
  <c r="K162" i="1"/>
  <c r="G162" i="1"/>
  <c r="J162" i="1" s="1"/>
  <c r="AN161" i="1"/>
  <c r="AO161" i="1" s="1"/>
  <c r="AL161" i="1"/>
  <c r="AM161" i="1" s="1"/>
  <c r="Z161" i="1"/>
  <c r="W161" i="1"/>
  <c r="K161" i="1"/>
  <c r="G161" i="1"/>
  <c r="J161" i="1" s="1"/>
  <c r="AW160" i="1"/>
  <c r="AV160" i="1"/>
  <c r="AU160" i="1"/>
  <c r="AN160" i="1"/>
  <c r="AO160" i="1" s="1"/>
  <c r="AL160" i="1"/>
  <c r="AM160" i="1" s="1"/>
  <c r="AH160" i="1"/>
  <c r="AF160" i="1"/>
  <c r="Z160" i="1"/>
  <c r="W160" i="1"/>
  <c r="K160" i="1"/>
  <c r="AI160" i="1" s="1"/>
  <c r="G160" i="1"/>
  <c r="J160" i="1" s="1"/>
  <c r="AN159" i="1"/>
  <c r="AO159" i="1" s="1"/>
  <c r="AL159" i="1"/>
  <c r="AM159" i="1" s="1"/>
  <c r="Z159" i="1"/>
  <c r="W159" i="1"/>
  <c r="K159" i="1"/>
  <c r="G159" i="1"/>
  <c r="J159" i="1" s="1"/>
  <c r="AN158" i="1"/>
  <c r="AO158" i="1" s="1"/>
  <c r="AL158" i="1"/>
  <c r="AM158" i="1" s="1"/>
  <c r="Z158" i="1"/>
  <c r="W158" i="1"/>
  <c r="K158" i="1"/>
  <c r="G158" i="1"/>
  <c r="J158" i="1" s="1"/>
  <c r="AW157" i="1"/>
  <c r="AV157" i="1"/>
  <c r="AU157" i="1"/>
  <c r="AN157" i="1"/>
  <c r="AO157" i="1" s="1"/>
  <c r="AL157" i="1"/>
  <c r="AM157" i="1" s="1"/>
  <c r="AH157" i="1"/>
  <c r="AF157" i="1"/>
  <c r="Z157" i="1"/>
  <c r="W157" i="1"/>
  <c r="K157" i="1"/>
  <c r="AI157" i="1" s="1"/>
  <c r="G157" i="1"/>
  <c r="J157" i="1" s="1"/>
  <c r="AN156" i="1"/>
  <c r="AO156" i="1" s="1"/>
  <c r="AL156" i="1"/>
  <c r="AM156" i="1" s="1"/>
  <c r="Z156" i="1"/>
  <c r="W156" i="1"/>
  <c r="K156" i="1"/>
  <c r="G156" i="1"/>
  <c r="J156" i="1" s="1"/>
  <c r="AN155" i="1"/>
  <c r="AO155" i="1" s="1"/>
  <c r="AL155" i="1"/>
  <c r="AM155" i="1" s="1"/>
  <c r="Z155" i="1"/>
  <c r="W155" i="1"/>
  <c r="K155" i="1"/>
  <c r="G155" i="1"/>
  <c r="J155" i="1" s="1"/>
  <c r="AW154" i="1"/>
  <c r="AV154" i="1"/>
  <c r="AU154" i="1"/>
  <c r="AN154" i="1"/>
  <c r="AO154" i="1" s="1"/>
  <c r="AL154" i="1"/>
  <c r="AM154" i="1" s="1"/>
  <c r="AH154" i="1"/>
  <c r="AF154" i="1"/>
  <c r="Z154" i="1"/>
  <c r="W154" i="1"/>
  <c r="K154" i="1"/>
  <c r="AI154" i="1" s="1"/>
  <c r="G154" i="1"/>
  <c r="J154" i="1" s="1"/>
  <c r="AN153" i="1"/>
  <c r="AO153" i="1" s="1"/>
  <c r="AL153" i="1"/>
  <c r="AM153" i="1" s="1"/>
  <c r="Z153" i="1"/>
  <c r="W153" i="1"/>
  <c r="K153" i="1"/>
  <c r="G153" i="1"/>
  <c r="J153" i="1" s="1"/>
  <c r="AN152" i="1"/>
  <c r="AO152" i="1" s="1"/>
  <c r="AL152" i="1"/>
  <c r="AM152" i="1" s="1"/>
  <c r="Z152" i="1"/>
  <c r="W152" i="1"/>
  <c r="K152" i="1"/>
  <c r="G152" i="1"/>
  <c r="J152" i="1" s="1"/>
  <c r="AW151" i="1"/>
  <c r="AV151" i="1"/>
  <c r="AU151" i="1"/>
  <c r="AN151" i="1"/>
  <c r="AO151" i="1" s="1"/>
  <c r="AL151" i="1"/>
  <c r="AM151" i="1" s="1"/>
  <c r="AH151" i="1"/>
  <c r="AF151" i="1"/>
  <c r="Z151" i="1"/>
  <c r="W151" i="1"/>
  <c r="K151" i="1"/>
  <c r="AI151" i="1" s="1"/>
  <c r="G151" i="1"/>
  <c r="J151" i="1" s="1"/>
  <c r="AN150" i="1"/>
  <c r="AO150" i="1" s="1"/>
  <c r="AL150" i="1"/>
  <c r="AM150" i="1" s="1"/>
  <c r="Z150" i="1"/>
  <c r="W150" i="1"/>
  <c r="K150" i="1"/>
  <c r="G150" i="1"/>
  <c r="J150" i="1" s="1"/>
  <c r="AN149" i="1"/>
  <c r="AO149" i="1" s="1"/>
  <c r="AL149" i="1"/>
  <c r="AM149" i="1" s="1"/>
  <c r="Z149" i="1"/>
  <c r="W149" i="1"/>
  <c r="K149" i="1"/>
  <c r="G149" i="1"/>
  <c r="J149" i="1" s="1"/>
  <c r="AW148" i="1"/>
  <c r="AV148" i="1"/>
  <c r="AU148" i="1"/>
  <c r="AN148" i="1"/>
  <c r="AO148" i="1" s="1"/>
  <c r="AL148" i="1"/>
  <c r="AM148" i="1" s="1"/>
  <c r="AH148" i="1"/>
  <c r="AF148" i="1"/>
  <c r="Z148" i="1"/>
  <c r="W148" i="1"/>
  <c r="K148" i="1"/>
  <c r="AI148" i="1" s="1"/>
  <c r="G148" i="1"/>
  <c r="J148" i="1" s="1"/>
  <c r="AN147" i="1"/>
  <c r="AO147" i="1" s="1"/>
  <c r="AL147" i="1"/>
  <c r="AM147" i="1" s="1"/>
  <c r="Z147" i="1"/>
  <c r="W147" i="1"/>
  <c r="K147" i="1"/>
  <c r="G147" i="1"/>
  <c r="J147" i="1" s="1"/>
  <c r="AN146" i="1"/>
  <c r="AO146" i="1" s="1"/>
  <c r="AL146" i="1"/>
  <c r="AM146" i="1" s="1"/>
  <c r="Z146" i="1"/>
  <c r="W146" i="1"/>
  <c r="K146" i="1"/>
  <c r="G146" i="1"/>
  <c r="J146" i="1" s="1"/>
  <c r="AW145" i="1"/>
  <c r="AV145" i="1"/>
  <c r="AU145" i="1"/>
  <c r="AN145" i="1"/>
  <c r="AO145" i="1" s="1"/>
  <c r="AL145" i="1"/>
  <c r="AM145" i="1" s="1"/>
  <c r="AH145" i="1"/>
  <c r="AF145" i="1"/>
  <c r="Z145" i="1"/>
  <c r="W145" i="1"/>
  <c r="K145" i="1"/>
  <c r="AI145" i="1" s="1"/>
  <c r="G145" i="1"/>
  <c r="J145" i="1" s="1"/>
  <c r="AN144" i="1"/>
  <c r="AO144" i="1" s="1"/>
  <c r="AL144" i="1"/>
  <c r="AM144" i="1" s="1"/>
  <c r="Z144" i="1"/>
  <c r="W144" i="1"/>
  <c r="K144" i="1"/>
  <c r="G144" i="1"/>
  <c r="J144" i="1" s="1"/>
  <c r="AN143" i="1"/>
  <c r="AO143" i="1" s="1"/>
  <c r="AL143" i="1"/>
  <c r="AM143" i="1" s="1"/>
  <c r="Z143" i="1"/>
  <c r="W143" i="1"/>
  <c r="K143" i="1"/>
  <c r="G143" i="1"/>
  <c r="J143" i="1" s="1"/>
  <c r="AW142" i="1"/>
  <c r="AV142" i="1"/>
  <c r="AU142" i="1"/>
  <c r="AN142" i="1"/>
  <c r="AO142" i="1" s="1"/>
  <c r="AL142" i="1"/>
  <c r="AM142" i="1" s="1"/>
  <c r="AH142" i="1"/>
  <c r="AF142" i="1"/>
  <c r="Z142" i="1"/>
  <c r="W142" i="1"/>
  <c r="K142" i="1"/>
  <c r="AI142" i="1" s="1"/>
  <c r="G142" i="1"/>
  <c r="J142" i="1" s="1"/>
  <c r="AN141" i="1"/>
  <c r="AO141" i="1" s="1"/>
  <c r="AL141" i="1"/>
  <c r="AM141" i="1" s="1"/>
  <c r="Z141" i="1"/>
  <c r="W141" i="1"/>
  <c r="K141" i="1"/>
  <c r="G141" i="1"/>
  <c r="J141" i="1" s="1"/>
  <c r="AN140" i="1"/>
  <c r="AO140" i="1" s="1"/>
  <c r="AL140" i="1"/>
  <c r="AM140" i="1" s="1"/>
  <c r="Z140" i="1"/>
  <c r="W140" i="1"/>
  <c r="K140" i="1"/>
  <c r="G140" i="1"/>
  <c r="J140" i="1" s="1"/>
  <c r="AW139" i="1"/>
  <c r="AV139" i="1"/>
  <c r="AU139" i="1"/>
  <c r="AN139" i="1"/>
  <c r="AO139" i="1" s="1"/>
  <c r="AL139" i="1"/>
  <c r="AM139" i="1" s="1"/>
  <c r="AH139" i="1"/>
  <c r="AF139" i="1"/>
  <c r="Z139" i="1"/>
  <c r="W139" i="1"/>
  <c r="K139" i="1"/>
  <c r="AI139" i="1" s="1"/>
  <c r="G139" i="1"/>
  <c r="J139" i="1" s="1"/>
  <c r="AN138" i="1"/>
  <c r="AO138" i="1" s="1"/>
  <c r="AL138" i="1"/>
  <c r="AM138" i="1" s="1"/>
  <c r="Z138" i="1"/>
  <c r="W138" i="1"/>
  <c r="K138" i="1"/>
  <c r="G138" i="1"/>
  <c r="J138" i="1" s="1"/>
  <c r="AN137" i="1"/>
  <c r="AO137" i="1" s="1"/>
  <c r="AL137" i="1"/>
  <c r="AM137" i="1" s="1"/>
  <c r="Z137" i="1"/>
  <c r="W137" i="1"/>
  <c r="K137" i="1"/>
  <c r="G137" i="1"/>
  <c r="J137" i="1" s="1"/>
  <c r="AW136" i="1"/>
  <c r="AV136" i="1"/>
  <c r="AU136" i="1"/>
  <c r="AN136" i="1"/>
  <c r="AO136" i="1" s="1"/>
  <c r="AL136" i="1"/>
  <c r="AM136" i="1" s="1"/>
  <c r="AH136" i="1"/>
  <c r="Z136" i="1"/>
  <c r="W136" i="1"/>
  <c r="K136" i="1"/>
  <c r="AI136" i="1" s="1"/>
  <c r="G136" i="1"/>
  <c r="J136" i="1" s="1"/>
  <c r="AN135" i="1"/>
  <c r="AO135" i="1" s="1"/>
  <c r="AL135" i="1"/>
  <c r="AM135" i="1" s="1"/>
  <c r="Z135" i="1"/>
  <c r="W135" i="1"/>
  <c r="K135" i="1"/>
  <c r="G135" i="1"/>
  <c r="J135" i="1" s="1"/>
  <c r="AN134" i="1"/>
  <c r="AO134" i="1" s="1"/>
  <c r="AL134" i="1"/>
  <c r="AM134" i="1" s="1"/>
  <c r="Z134" i="1"/>
  <c r="W134" i="1"/>
  <c r="K134" i="1"/>
  <c r="G134" i="1"/>
  <c r="J134" i="1" s="1"/>
  <c r="AW133" i="1"/>
  <c r="AV133" i="1"/>
  <c r="AU133" i="1"/>
  <c r="AN133" i="1"/>
  <c r="AO133" i="1" s="1"/>
  <c r="AL133" i="1"/>
  <c r="AM133" i="1" s="1"/>
  <c r="AH133" i="1"/>
  <c r="AF133" i="1"/>
  <c r="Z133" i="1"/>
  <c r="W133" i="1"/>
  <c r="K133" i="1"/>
  <c r="AI133" i="1" s="1"/>
  <c r="J133" i="1"/>
  <c r="G133" i="1"/>
  <c r="AN132" i="1"/>
  <c r="AO132" i="1" s="1"/>
  <c r="AL132" i="1"/>
  <c r="AM132" i="1" s="1"/>
  <c r="AB132" i="1"/>
  <c r="Z132" i="1"/>
  <c r="W132" i="1"/>
  <c r="K132" i="1"/>
  <c r="G132" i="1"/>
  <c r="J132" i="1" s="1"/>
  <c r="AN131" i="1"/>
  <c r="AO131" i="1" s="1"/>
  <c r="AL131" i="1"/>
  <c r="AM131" i="1" s="1"/>
  <c r="AB131" i="1"/>
  <c r="Z131" i="1"/>
  <c r="W131" i="1"/>
  <c r="K131" i="1"/>
  <c r="J131" i="1"/>
  <c r="G131" i="1"/>
  <c r="AN130" i="1"/>
  <c r="AO130" i="1" s="1"/>
  <c r="AL130" i="1"/>
  <c r="AM130" i="1" s="1"/>
  <c r="AB130" i="1"/>
  <c r="Z130" i="1"/>
  <c r="W130" i="1"/>
  <c r="K130" i="1"/>
  <c r="G130" i="1"/>
  <c r="J130" i="1" s="1"/>
  <c r="AN129" i="1"/>
  <c r="AO129" i="1" s="1"/>
  <c r="AL129" i="1"/>
  <c r="AM129" i="1" s="1"/>
  <c r="AB129" i="1"/>
  <c r="Z129" i="1"/>
  <c r="W129" i="1"/>
  <c r="K129" i="1"/>
  <c r="G129" i="1"/>
  <c r="J129" i="1" s="1"/>
  <c r="AN128" i="1"/>
  <c r="AO128" i="1" s="1"/>
  <c r="AM128" i="1"/>
  <c r="AL128" i="1"/>
  <c r="AB128" i="1"/>
  <c r="AW127" i="1" s="1"/>
  <c r="Z128" i="1"/>
  <c r="W128" i="1"/>
  <c r="K128" i="1"/>
  <c r="G128" i="1"/>
  <c r="J128" i="1" s="1"/>
  <c r="AN127" i="1"/>
  <c r="AO127" i="1" s="1"/>
  <c r="AL127" i="1"/>
  <c r="AM127" i="1" s="1"/>
  <c r="AH127" i="1"/>
  <c r="AB127" i="1"/>
  <c r="Z127" i="1"/>
  <c r="W127" i="1"/>
  <c r="K127" i="1"/>
  <c r="AI127" i="1" s="1"/>
  <c r="G127" i="1"/>
  <c r="J127" i="1" s="1"/>
  <c r="AN126" i="1"/>
  <c r="AO126" i="1" s="1"/>
  <c r="AL126" i="1"/>
  <c r="AM126" i="1" s="1"/>
  <c r="Z126" i="1"/>
  <c r="W126" i="1"/>
  <c r="K126" i="1"/>
  <c r="G126" i="1"/>
  <c r="J126" i="1" s="1"/>
  <c r="AN125" i="1"/>
  <c r="AO125" i="1" s="1"/>
  <c r="AL125" i="1"/>
  <c r="AM125" i="1" s="1"/>
  <c r="Z125" i="1"/>
  <c r="W125" i="1"/>
  <c r="K125" i="1"/>
  <c r="G125" i="1"/>
  <c r="J125" i="1" s="1"/>
  <c r="AW124" i="1"/>
  <c r="AV124" i="1"/>
  <c r="AU124" i="1"/>
  <c r="AN124" i="1"/>
  <c r="AO124" i="1" s="1"/>
  <c r="AL124" i="1"/>
  <c r="AM124" i="1" s="1"/>
  <c r="AH124" i="1"/>
  <c r="AF124" i="1"/>
  <c r="Z124" i="1"/>
  <c r="W124" i="1"/>
  <c r="K124" i="1"/>
  <c r="AI124" i="1" s="1"/>
  <c r="G124" i="1"/>
  <c r="J124" i="1" s="1"/>
  <c r="AN123" i="1"/>
  <c r="AO123" i="1" s="1"/>
  <c r="AL123" i="1"/>
  <c r="AM123" i="1" s="1"/>
  <c r="Z123" i="1"/>
  <c r="W123" i="1"/>
  <c r="K123" i="1"/>
  <c r="G123" i="1"/>
  <c r="J123" i="1" s="1"/>
  <c r="AN122" i="1"/>
  <c r="AO122" i="1" s="1"/>
  <c r="AL122" i="1"/>
  <c r="AM122" i="1" s="1"/>
  <c r="Z122" i="1"/>
  <c r="W122" i="1"/>
  <c r="K122" i="1"/>
  <c r="G122" i="1"/>
  <c r="J122" i="1" s="1"/>
  <c r="AW121" i="1"/>
  <c r="AV121" i="1"/>
  <c r="AU121" i="1"/>
  <c r="AN121" i="1"/>
  <c r="AO121" i="1" s="1"/>
  <c r="AL121" i="1"/>
  <c r="AM121" i="1" s="1"/>
  <c r="AH121" i="1"/>
  <c r="AF121" i="1"/>
  <c r="Z121" i="1"/>
  <c r="W121" i="1"/>
  <c r="K121" i="1"/>
  <c r="AI121" i="1" s="1"/>
  <c r="G121" i="1"/>
  <c r="J121" i="1" s="1"/>
  <c r="AN120" i="1"/>
  <c r="AO120" i="1" s="1"/>
  <c r="AL120" i="1"/>
  <c r="AM120" i="1" s="1"/>
  <c r="Z120" i="1"/>
  <c r="W120" i="1"/>
  <c r="K120" i="1"/>
  <c r="G120" i="1"/>
  <c r="J120" i="1" s="1"/>
  <c r="AN119" i="1"/>
  <c r="AO119" i="1" s="1"/>
  <c r="AL119" i="1"/>
  <c r="AM119" i="1" s="1"/>
  <c r="Z119" i="1"/>
  <c r="W119" i="1"/>
  <c r="K119" i="1"/>
  <c r="G119" i="1"/>
  <c r="J119" i="1" s="1"/>
  <c r="AN118" i="1"/>
  <c r="AO118" i="1" s="1"/>
  <c r="AL118" i="1"/>
  <c r="AM118" i="1" s="1"/>
  <c r="Z118" i="1"/>
  <c r="W118" i="1"/>
  <c r="K118" i="1"/>
  <c r="G118" i="1"/>
  <c r="J118" i="1" s="1"/>
  <c r="AN117" i="1"/>
  <c r="AO117" i="1" s="1"/>
  <c r="AL117" i="1"/>
  <c r="AM117" i="1" s="1"/>
  <c r="Z117" i="1"/>
  <c r="W117" i="1"/>
  <c r="K117" i="1"/>
  <c r="G117" i="1"/>
  <c r="J117" i="1" s="1"/>
  <c r="AN116" i="1"/>
  <c r="AO116" i="1" s="1"/>
  <c r="AL116" i="1"/>
  <c r="AM116" i="1" s="1"/>
  <c r="Z116" i="1"/>
  <c r="W116" i="1"/>
  <c r="K116" i="1"/>
  <c r="G116" i="1"/>
  <c r="J116" i="1" s="1"/>
  <c r="AN115" i="1"/>
  <c r="AO115" i="1" s="1"/>
  <c r="AL115" i="1"/>
  <c r="AM115" i="1" s="1"/>
  <c r="Z115" i="1"/>
  <c r="W115" i="1"/>
  <c r="K115" i="1"/>
  <c r="G115" i="1"/>
  <c r="J115" i="1" s="1"/>
  <c r="AW114" i="1"/>
  <c r="AV114" i="1"/>
  <c r="AU114" i="1"/>
  <c r="AN114" i="1"/>
  <c r="AO114" i="1" s="1"/>
  <c r="AL114" i="1"/>
  <c r="AM114" i="1" s="1"/>
  <c r="AH114" i="1"/>
  <c r="AF114" i="1"/>
  <c r="Z114" i="1"/>
  <c r="W114" i="1"/>
  <c r="K114" i="1"/>
  <c r="AI114" i="1" s="1"/>
  <c r="G114" i="1"/>
  <c r="J114" i="1" s="1"/>
  <c r="AN113" i="1"/>
  <c r="AO113" i="1" s="1"/>
  <c r="AL113" i="1"/>
  <c r="AM113" i="1" s="1"/>
  <c r="Z113" i="1"/>
  <c r="W113" i="1"/>
  <c r="K113" i="1"/>
  <c r="G113" i="1"/>
  <c r="J113" i="1" s="1"/>
  <c r="AN112" i="1"/>
  <c r="AO112" i="1" s="1"/>
  <c r="AL112" i="1"/>
  <c r="AM112" i="1" s="1"/>
  <c r="Z112" i="1"/>
  <c r="W112" i="1"/>
  <c r="K112" i="1"/>
  <c r="G112" i="1"/>
  <c r="J112" i="1" s="1"/>
  <c r="AW111" i="1"/>
  <c r="AV111" i="1"/>
  <c r="AU111" i="1"/>
  <c r="AN111" i="1"/>
  <c r="AO111" i="1" s="1"/>
  <c r="AL111" i="1"/>
  <c r="AM111" i="1" s="1"/>
  <c r="AH111" i="1"/>
  <c r="AF111" i="1"/>
  <c r="Z111" i="1"/>
  <c r="W111" i="1"/>
  <c r="K111" i="1"/>
  <c r="AI111" i="1" s="1"/>
  <c r="G111" i="1"/>
  <c r="J111" i="1" s="1"/>
  <c r="AN110" i="1"/>
  <c r="AO110" i="1" s="1"/>
  <c r="AL110" i="1"/>
  <c r="AM110" i="1" s="1"/>
  <c r="Z110" i="1"/>
  <c r="W110" i="1"/>
  <c r="K110" i="1"/>
  <c r="G110" i="1"/>
  <c r="J110" i="1" s="1"/>
  <c r="AN109" i="1"/>
  <c r="AO109" i="1" s="1"/>
  <c r="AL109" i="1"/>
  <c r="AM109" i="1" s="1"/>
  <c r="Z109" i="1"/>
  <c r="W109" i="1"/>
  <c r="K109" i="1"/>
  <c r="G109" i="1"/>
  <c r="J109" i="1" s="1"/>
  <c r="AW108" i="1"/>
  <c r="AV108" i="1"/>
  <c r="AU108" i="1"/>
  <c r="AN108" i="1"/>
  <c r="AO108" i="1" s="1"/>
  <c r="AL108" i="1"/>
  <c r="AM108" i="1" s="1"/>
  <c r="AH108" i="1"/>
  <c r="AF108" i="1"/>
  <c r="Z108" i="1"/>
  <c r="W108" i="1"/>
  <c r="K108" i="1"/>
  <c r="AI108" i="1" s="1"/>
  <c r="G108" i="1"/>
  <c r="J108" i="1" s="1"/>
  <c r="AN107" i="1"/>
  <c r="AO107" i="1" s="1"/>
  <c r="AL107" i="1"/>
  <c r="AM107" i="1" s="1"/>
  <c r="AB107" i="1"/>
  <c r="Z107" i="1"/>
  <c r="W107" i="1"/>
  <c r="K107" i="1"/>
  <c r="G107" i="1"/>
  <c r="J107" i="1" s="1"/>
  <c r="AN106" i="1"/>
  <c r="AO106" i="1" s="1"/>
  <c r="AL106" i="1"/>
  <c r="AM106" i="1" s="1"/>
  <c r="AB106" i="1"/>
  <c r="AW102" i="1" s="1"/>
  <c r="Z106" i="1"/>
  <c r="W106" i="1"/>
  <c r="K106" i="1"/>
  <c r="G106" i="1"/>
  <c r="J106" i="1" s="1"/>
  <c r="AN105" i="1"/>
  <c r="AO105" i="1" s="1"/>
  <c r="AL105" i="1"/>
  <c r="AM105" i="1" s="1"/>
  <c r="AB105" i="1"/>
  <c r="Z105" i="1"/>
  <c r="W105" i="1"/>
  <c r="K105" i="1"/>
  <c r="G105" i="1"/>
  <c r="J105" i="1" s="1"/>
  <c r="AN104" i="1"/>
  <c r="AO104" i="1" s="1"/>
  <c r="AL104" i="1"/>
  <c r="AM104" i="1" s="1"/>
  <c r="AB104" i="1"/>
  <c r="Z104" i="1"/>
  <c r="W104" i="1"/>
  <c r="K104" i="1"/>
  <c r="G104" i="1"/>
  <c r="J104" i="1" s="1"/>
  <c r="AN103" i="1"/>
  <c r="AO103" i="1" s="1"/>
  <c r="AL103" i="1"/>
  <c r="AM103" i="1" s="1"/>
  <c r="AB103" i="1"/>
  <c r="Z103" i="1"/>
  <c r="W103" i="1"/>
  <c r="K103" i="1"/>
  <c r="G103" i="1"/>
  <c r="J103" i="1" s="1"/>
  <c r="AV102" i="1"/>
  <c r="AN102" i="1"/>
  <c r="AO102" i="1" s="1"/>
  <c r="AL102" i="1"/>
  <c r="AM102" i="1" s="1"/>
  <c r="AH102" i="1"/>
  <c r="AF102" i="1"/>
  <c r="AB102" i="1"/>
  <c r="Z102" i="1"/>
  <c r="W102" i="1"/>
  <c r="K102" i="1"/>
  <c r="AI102" i="1" s="1"/>
  <c r="G102" i="1"/>
  <c r="J102" i="1" s="1"/>
  <c r="AN101" i="1"/>
  <c r="AO101" i="1" s="1"/>
  <c r="AL101" i="1"/>
  <c r="AM101" i="1" s="1"/>
  <c r="Z101" i="1"/>
  <c r="W101" i="1"/>
  <c r="K101" i="1"/>
  <c r="G101" i="1"/>
  <c r="J101" i="1" s="1"/>
  <c r="AN100" i="1"/>
  <c r="AO100" i="1" s="1"/>
  <c r="AL100" i="1"/>
  <c r="AM100" i="1" s="1"/>
  <c r="Z100" i="1"/>
  <c r="W100" i="1"/>
  <c r="K100" i="1"/>
  <c r="G100" i="1"/>
  <c r="J100" i="1" s="1"/>
  <c r="AW99" i="1"/>
  <c r="AV99" i="1"/>
  <c r="AU99" i="1"/>
  <c r="AN99" i="1"/>
  <c r="AO99" i="1" s="1"/>
  <c r="AL99" i="1"/>
  <c r="AM99" i="1" s="1"/>
  <c r="AH99" i="1"/>
  <c r="AF99" i="1"/>
  <c r="Z99" i="1"/>
  <c r="W99" i="1"/>
  <c r="K99" i="1"/>
  <c r="AI99" i="1" s="1"/>
  <c r="G99" i="1"/>
  <c r="J99" i="1" s="1"/>
  <c r="AN98" i="1"/>
  <c r="AO98" i="1" s="1"/>
  <c r="AL98" i="1"/>
  <c r="AM98" i="1" s="1"/>
  <c r="AB98" i="1"/>
  <c r="Z98" i="1"/>
  <c r="W98" i="1"/>
  <c r="K98" i="1"/>
  <c r="G98" i="1"/>
  <c r="J98" i="1" s="1"/>
  <c r="AN97" i="1"/>
  <c r="AO97" i="1" s="1"/>
  <c r="AL97" i="1"/>
  <c r="AM97" i="1" s="1"/>
  <c r="AB97" i="1"/>
  <c r="Z97" i="1"/>
  <c r="W97" i="1"/>
  <c r="K97" i="1"/>
  <c r="G97" i="1"/>
  <c r="J97" i="1" s="1"/>
  <c r="AN96" i="1"/>
  <c r="AO96" i="1" s="1"/>
  <c r="AL96" i="1"/>
  <c r="AM96" i="1" s="1"/>
  <c r="AB96" i="1"/>
  <c r="Z96" i="1"/>
  <c r="W96" i="1"/>
  <c r="K96" i="1"/>
  <c r="G96" i="1"/>
  <c r="J96" i="1" s="1"/>
  <c r="AN95" i="1"/>
  <c r="AO95" i="1" s="1"/>
  <c r="AL95" i="1"/>
  <c r="AM95" i="1" s="1"/>
  <c r="AB95" i="1"/>
  <c r="Z95" i="1"/>
  <c r="W95" i="1"/>
  <c r="K95" i="1"/>
  <c r="G95" i="1"/>
  <c r="J95" i="1" s="1"/>
  <c r="AN94" i="1"/>
  <c r="AO94" i="1" s="1"/>
  <c r="AL94" i="1"/>
  <c r="AM94" i="1" s="1"/>
  <c r="AB94" i="1"/>
  <c r="Z94" i="1"/>
  <c r="W94" i="1"/>
  <c r="K94" i="1"/>
  <c r="G94" i="1"/>
  <c r="J94" i="1" s="1"/>
  <c r="AN93" i="1"/>
  <c r="AO93" i="1" s="1"/>
  <c r="AL93" i="1"/>
  <c r="AM93" i="1" s="1"/>
  <c r="AH93" i="1"/>
  <c r="AB93" i="1"/>
  <c r="Z93" i="1"/>
  <c r="W93" i="1"/>
  <c r="K93" i="1"/>
  <c r="AI93" i="1" s="1"/>
  <c r="G93" i="1"/>
  <c r="J93" i="1" s="1"/>
  <c r="AN92" i="1"/>
  <c r="AO92" i="1" s="1"/>
  <c r="AL92" i="1"/>
  <c r="AM92" i="1" s="1"/>
  <c r="Z92" i="1"/>
  <c r="W92" i="1"/>
  <c r="K92" i="1"/>
  <c r="G92" i="1"/>
  <c r="J92" i="1" s="1"/>
  <c r="AN91" i="1"/>
  <c r="AO91" i="1" s="1"/>
  <c r="AL91" i="1"/>
  <c r="AM91" i="1" s="1"/>
  <c r="Z91" i="1"/>
  <c r="W91" i="1"/>
  <c r="K91" i="1"/>
  <c r="J91" i="1"/>
  <c r="G91" i="1"/>
  <c r="AW90" i="1"/>
  <c r="AV90" i="1"/>
  <c r="AU90" i="1"/>
  <c r="AN90" i="1"/>
  <c r="AO90" i="1" s="1"/>
  <c r="AL90" i="1"/>
  <c r="AM90" i="1" s="1"/>
  <c r="AH90" i="1"/>
  <c r="AF90" i="1"/>
  <c r="Z90" i="1"/>
  <c r="W90" i="1"/>
  <c r="K90" i="1"/>
  <c r="AI90" i="1" s="1"/>
  <c r="G90" i="1"/>
  <c r="J90" i="1" s="1"/>
  <c r="AN89" i="1"/>
  <c r="AO89" i="1" s="1"/>
  <c r="AL89" i="1"/>
  <c r="AM89" i="1" s="1"/>
  <c r="Z89" i="1"/>
  <c r="W89" i="1"/>
  <c r="K89" i="1"/>
  <c r="G89" i="1"/>
  <c r="J89" i="1" s="1"/>
  <c r="AN88" i="1"/>
  <c r="AO88" i="1" s="1"/>
  <c r="AL88" i="1"/>
  <c r="AM88" i="1" s="1"/>
  <c r="Z88" i="1"/>
  <c r="W88" i="1"/>
  <c r="K88" i="1"/>
  <c r="G88" i="1"/>
  <c r="J88" i="1" s="1"/>
  <c r="AW87" i="1"/>
  <c r="AV87" i="1"/>
  <c r="AU87" i="1"/>
  <c r="AN87" i="1"/>
  <c r="AO87" i="1" s="1"/>
  <c r="AL87" i="1"/>
  <c r="AM87" i="1" s="1"/>
  <c r="AH87" i="1"/>
  <c r="AF87" i="1"/>
  <c r="Z87" i="1"/>
  <c r="W87" i="1"/>
  <c r="K87" i="1"/>
  <c r="AI87" i="1" s="1"/>
  <c r="G87" i="1"/>
  <c r="J87" i="1" s="1"/>
  <c r="AN86" i="1"/>
  <c r="AO86" i="1" s="1"/>
  <c r="AL86" i="1"/>
  <c r="AM86" i="1" s="1"/>
  <c r="Z86" i="1"/>
  <c r="W86" i="1"/>
  <c r="K86" i="1"/>
  <c r="G86" i="1"/>
  <c r="J86" i="1" s="1"/>
  <c r="AN85" i="1"/>
  <c r="AO85" i="1" s="1"/>
  <c r="AL85" i="1"/>
  <c r="AM85" i="1" s="1"/>
  <c r="Z85" i="1"/>
  <c r="W85" i="1"/>
  <c r="K85" i="1"/>
  <c r="G85" i="1"/>
  <c r="J85" i="1" s="1"/>
  <c r="AW84" i="1"/>
  <c r="AV84" i="1"/>
  <c r="AU84" i="1"/>
  <c r="AN84" i="1"/>
  <c r="AO84" i="1" s="1"/>
  <c r="AL84" i="1"/>
  <c r="AM84" i="1" s="1"/>
  <c r="AH84" i="1"/>
  <c r="AF84" i="1"/>
  <c r="Z84" i="1"/>
  <c r="W84" i="1"/>
  <c r="K84" i="1"/>
  <c r="AI84" i="1" s="1"/>
  <c r="G84" i="1"/>
  <c r="J84" i="1" s="1"/>
  <c r="AN83" i="1"/>
  <c r="AO83" i="1" s="1"/>
  <c r="AL83" i="1"/>
  <c r="AM83" i="1" s="1"/>
  <c r="Z83" i="1"/>
  <c r="W83" i="1"/>
  <c r="K83" i="1"/>
  <c r="J83" i="1"/>
  <c r="G83" i="1"/>
  <c r="AN82" i="1"/>
  <c r="AO82" i="1" s="1"/>
  <c r="AL82" i="1"/>
  <c r="AM82" i="1" s="1"/>
  <c r="Z82" i="1"/>
  <c r="W82" i="1"/>
  <c r="K82" i="1"/>
  <c r="G82" i="1"/>
  <c r="J82" i="1" s="1"/>
  <c r="AW81" i="1"/>
  <c r="AV81" i="1"/>
  <c r="AU81" i="1"/>
  <c r="AN81" i="1"/>
  <c r="AO81" i="1" s="1"/>
  <c r="AL81" i="1"/>
  <c r="AM81" i="1" s="1"/>
  <c r="AH81" i="1"/>
  <c r="AF81" i="1"/>
  <c r="Z81" i="1"/>
  <c r="W81" i="1"/>
  <c r="K81" i="1"/>
  <c r="AI81" i="1" s="1"/>
  <c r="G81" i="1"/>
  <c r="J81" i="1" s="1"/>
  <c r="AN80" i="1"/>
  <c r="AO80" i="1" s="1"/>
  <c r="AL80" i="1"/>
  <c r="AM80" i="1" s="1"/>
  <c r="Z80" i="1"/>
  <c r="W80" i="1"/>
  <c r="K80" i="1"/>
  <c r="G80" i="1"/>
  <c r="J80" i="1" s="1"/>
  <c r="AN79" i="1"/>
  <c r="AO79" i="1" s="1"/>
  <c r="AL79" i="1"/>
  <c r="AM79" i="1" s="1"/>
  <c r="Z79" i="1"/>
  <c r="W79" i="1"/>
  <c r="K79" i="1"/>
  <c r="G79" i="1"/>
  <c r="J79" i="1" s="1"/>
  <c r="AW78" i="1"/>
  <c r="AV78" i="1"/>
  <c r="AU78" i="1"/>
  <c r="AN78" i="1"/>
  <c r="AO78" i="1" s="1"/>
  <c r="AL78" i="1"/>
  <c r="AM78" i="1" s="1"/>
  <c r="AH78" i="1"/>
  <c r="AF78" i="1"/>
  <c r="Z78" i="1"/>
  <c r="W78" i="1"/>
  <c r="K78" i="1"/>
  <c r="AI78" i="1" s="1"/>
  <c r="G78" i="1"/>
  <c r="J78" i="1" s="1"/>
  <c r="AN77" i="1"/>
  <c r="AO77" i="1" s="1"/>
  <c r="AL77" i="1"/>
  <c r="AM77" i="1" s="1"/>
  <c r="Z77" i="1"/>
  <c r="W77" i="1"/>
  <c r="K77" i="1"/>
  <c r="G77" i="1"/>
  <c r="J77" i="1" s="1"/>
  <c r="AN76" i="1"/>
  <c r="AO76" i="1" s="1"/>
  <c r="AL76" i="1"/>
  <c r="AM76" i="1" s="1"/>
  <c r="Z76" i="1"/>
  <c r="W76" i="1"/>
  <c r="K76" i="1"/>
  <c r="G76" i="1"/>
  <c r="J76" i="1" s="1"/>
  <c r="AW75" i="1"/>
  <c r="AV75" i="1"/>
  <c r="AU75" i="1"/>
  <c r="AN75" i="1"/>
  <c r="AO75" i="1" s="1"/>
  <c r="AL75" i="1"/>
  <c r="AM75" i="1" s="1"/>
  <c r="AH75" i="1"/>
  <c r="AF75" i="1"/>
  <c r="Z75" i="1"/>
  <c r="W75" i="1"/>
  <c r="K75" i="1"/>
  <c r="AI75" i="1" s="1"/>
  <c r="G75" i="1"/>
  <c r="J75" i="1" s="1"/>
  <c r="AN74" i="1"/>
  <c r="AO74" i="1" s="1"/>
  <c r="AL74" i="1"/>
  <c r="AM74" i="1" s="1"/>
  <c r="Z74" i="1"/>
  <c r="W74" i="1"/>
  <c r="K74" i="1"/>
  <c r="G74" i="1"/>
  <c r="J74" i="1" s="1"/>
  <c r="AN73" i="1"/>
  <c r="AO73" i="1" s="1"/>
  <c r="AL73" i="1"/>
  <c r="AM73" i="1" s="1"/>
  <c r="Z73" i="1"/>
  <c r="W73" i="1"/>
  <c r="K73" i="1"/>
  <c r="G73" i="1"/>
  <c r="J73" i="1" s="1"/>
  <c r="AW72" i="1"/>
  <c r="AV72" i="1"/>
  <c r="AU72" i="1"/>
  <c r="AN72" i="1"/>
  <c r="AO72" i="1" s="1"/>
  <c r="AL72" i="1"/>
  <c r="AM72" i="1" s="1"/>
  <c r="AH72" i="1"/>
  <c r="AF72" i="1"/>
  <c r="Z72" i="1"/>
  <c r="W72" i="1"/>
  <c r="K72" i="1"/>
  <c r="AI72" i="1" s="1"/>
  <c r="G72" i="1"/>
  <c r="J72" i="1" s="1"/>
  <c r="AN71" i="1"/>
  <c r="AO71" i="1" s="1"/>
  <c r="AL71" i="1"/>
  <c r="AM71" i="1" s="1"/>
  <c r="Z71" i="1"/>
  <c r="W71" i="1"/>
  <c r="K71" i="1"/>
  <c r="G71" i="1"/>
  <c r="J71" i="1" s="1"/>
  <c r="AN70" i="1"/>
  <c r="AO70" i="1" s="1"/>
  <c r="AL70" i="1"/>
  <c r="AM70" i="1" s="1"/>
  <c r="Z70" i="1"/>
  <c r="W70" i="1"/>
  <c r="K70" i="1"/>
  <c r="G70" i="1"/>
  <c r="J70" i="1" s="1"/>
  <c r="AW69" i="1"/>
  <c r="AV69" i="1"/>
  <c r="AU69" i="1"/>
  <c r="AN69" i="1"/>
  <c r="AO69" i="1" s="1"/>
  <c r="AL69" i="1"/>
  <c r="AM69" i="1" s="1"/>
  <c r="AH69" i="1"/>
  <c r="AF69" i="1"/>
  <c r="Z69" i="1"/>
  <c r="W69" i="1"/>
  <c r="K69" i="1"/>
  <c r="AI69" i="1" s="1"/>
  <c r="G69" i="1"/>
  <c r="J69" i="1" s="1"/>
  <c r="AN68" i="1"/>
  <c r="AO68" i="1" s="1"/>
  <c r="AL68" i="1"/>
  <c r="AM68" i="1" s="1"/>
  <c r="Z68" i="1"/>
  <c r="W68" i="1"/>
  <c r="K68" i="1"/>
  <c r="G68" i="1"/>
  <c r="J68" i="1" s="1"/>
  <c r="AN67" i="1"/>
  <c r="AO67" i="1" s="1"/>
  <c r="AL67" i="1"/>
  <c r="AM67" i="1" s="1"/>
  <c r="Z67" i="1"/>
  <c r="W67" i="1"/>
  <c r="K67" i="1"/>
  <c r="G67" i="1"/>
  <c r="J67" i="1" s="1"/>
  <c r="AW66" i="1"/>
  <c r="AV66" i="1"/>
  <c r="AU66" i="1"/>
  <c r="AN66" i="1"/>
  <c r="AO66" i="1" s="1"/>
  <c r="AL66" i="1"/>
  <c r="AM66" i="1" s="1"/>
  <c r="AH66" i="1"/>
  <c r="AF66" i="1"/>
  <c r="Z66" i="1"/>
  <c r="W66" i="1"/>
  <c r="K66" i="1"/>
  <c r="AI66" i="1" s="1"/>
  <c r="G66" i="1"/>
  <c r="J66" i="1" s="1"/>
  <c r="AN65" i="1"/>
  <c r="AO65" i="1" s="1"/>
  <c r="AL65" i="1"/>
  <c r="AM65" i="1" s="1"/>
  <c r="Z65" i="1"/>
  <c r="W65" i="1"/>
  <c r="K65" i="1"/>
  <c r="G65" i="1"/>
  <c r="J65" i="1" s="1"/>
  <c r="AN64" i="1"/>
  <c r="AO64" i="1" s="1"/>
  <c r="AL64" i="1"/>
  <c r="AM64" i="1" s="1"/>
  <c r="Z64" i="1"/>
  <c r="W64" i="1"/>
  <c r="K64" i="1"/>
  <c r="G64" i="1"/>
  <c r="J64" i="1" s="1"/>
  <c r="AW63" i="1"/>
  <c r="AV63" i="1"/>
  <c r="AU63" i="1"/>
  <c r="AN63" i="1"/>
  <c r="AO63" i="1" s="1"/>
  <c r="AL63" i="1"/>
  <c r="AM63" i="1" s="1"/>
  <c r="AH63" i="1"/>
  <c r="AF63" i="1"/>
  <c r="Z63" i="1"/>
  <c r="W63" i="1"/>
  <c r="K63" i="1"/>
  <c r="AI63" i="1" s="1"/>
  <c r="G63" i="1"/>
  <c r="J63" i="1" s="1"/>
  <c r="AN62" i="1"/>
  <c r="AO62" i="1" s="1"/>
  <c r="AL62" i="1"/>
  <c r="AM62" i="1" s="1"/>
  <c r="Z62" i="1"/>
  <c r="W62" i="1"/>
  <c r="K62" i="1"/>
  <c r="G62" i="1"/>
  <c r="J62" i="1" s="1"/>
  <c r="AN61" i="1"/>
  <c r="AO61" i="1" s="1"/>
  <c r="AL61" i="1"/>
  <c r="AM61" i="1" s="1"/>
  <c r="Z61" i="1"/>
  <c r="W61" i="1"/>
  <c r="K61" i="1"/>
  <c r="G61" i="1"/>
  <c r="J61" i="1" s="1"/>
  <c r="AW60" i="1"/>
  <c r="AV60" i="1"/>
  <c r="AU60" i="1"/>
  <c r="AN60" i="1"/>
  <c r="AO60" i="1" s="1"/>
  <c r="AL60" i="1"/>
  <c r="AM60" i="1" s="1"/>
  <c r="AH60" i="1"/>
  <c r="AF60" i="1"/>
  <c r="Z60" i="1"/>
  <c r="W60" i="1"/>
  <c r="K60" i="1"/>
  <c r="AI60" i="1" s="1"/>
  <c r="G60" i="1"/>
  <c r="J60" i="1" s="1"/>
  <c r="AN59" i="1"/>
  <c r="AO59" i="1" s="1"/>
  <c r="AL59" i="1"/>
  <c r="AM59" i="1" s="1"/>
  <c r="Z59" i="1"/>
  <c r="W59" i="1"/>
  <c r="K59" i="1"/>
  <c r="G59" i="1"/>
  <c r="J59" i="1" s="1"/>
  <c r="AN58" i="1"/>
  <c r="AO58" i="1" s="1"/>
  <c r="AL58" i="1"/>
  <c r="AM58" i="1" s="1"/>
  <c r="Z58" i="1"/>
  <c r="W58" i="1"/>
  <c r="K58" i="1"/>
  <c r="G58" i="1"/>
  <c r="J58" i="1" s="1"/>
  <c r="AW57" i="1"/>
  <c r="AV57" i="1"/>
  <c r="AU57" i="1"/>
  <c r="AN57" i="1"/>
  <c r="AO57" i="1" s="1"/>
  <c r="AL57" i="1"/>
  <c r="AM57" i="1" s="1"/>
  <c r="AH57" i="1"/>
  <c r="AF57" i="1"/>
  <c r="Z57" i="1"/>
  <c r="W57" i="1"/>
  <c r="K57" i="1"/>
  <c r="AI57" i="1" s="1"/>
  <c r="G57" i="1"/>
  <c r="J57" i="1" s="1"/>
  <c r="AN56" i="1"/>
  <c r="AO56" i="1" s="1"/>
  <c r="AL56" i="1"/>
  <c r="AM56" i="1" s="1"/>
  <c r="Z56" i="1"/>
  <c r="W56" i="1"/>
  <c r="K56" i="1"/>
  <c r="G56" i="1"/>
  <c r="J56" i="1" s="1"/>
  <c r="AN55" i="1"/>
  <c r="AO55" i="1" s="1"/>
  <c r="AL55" i="1"/>
  <c r="AM55" i="1" s="1"/>
  <c r="Z55" i="1"/>
  <c r="W55" i="1"/>
  <c r="K55" i="1"/>
  <c r="J55" i="1"/>
  <c r="G55" i="1"/>
  <c r="AW54" i="1"/>
  <c r="AV54" i="1"/>
  <c r="AU54" i="1"/>
  <c r="AN54" i="1"/>
  <c r="AO54" i="1" s="1"/>
  <c r="AL54" i="1"/>
  <c r="AM54" i="1" s="1"/>
  <c r="AH54" i="1"/>
  <c r="AF54" i="1"/>
  <c r="Z54" i="1"/>
  <c r="W54" i="1"/>
  <c r="K54" i="1"/>
  <c r="AI54" i="1" s="1"/>
  <c r="G54" i="1"/>
  <c r="J54" i="1" s="1"/>
  <c r="AN53" i="1"/>
  <c r="AO53" i="1" s="1"/>
  <c r="AL53" i="1"/>
  <c r="AM53" i="1" s="1"/>
  <c r="Z53" i="1"/>
  <c r="W53" i="1"/>
  <c r="K53" i="1"/>
  <c r="G53" i="1"/>
  <c r="J53" i="1" s="1"/>
  <c r="AN52" i="1"/>
  <c r="AO52" i="1" s="1"/>
  <c r="AL52" i="1"/>
  <c r="AM52" i="1" s="1"/>
  <c r="Z52" i="1"/>
  <c r="W52" i="1"/>
  <c r="K52" i="1"/>
  <c r="G52" i="1"/>
  <c r="J52" i="1" s="1"/>
  <c r="AW51" i="1"/>
  <c r="AV51" i="1"/>
  <c r="AU51" i="1"/>
  <c r="AN51" i="1"/>
  <c r="AO51" i="1" s="1"/>
  <c r="AL51" i="1"/>
  <c r="AM51" i="1" s="1"/>
  <c r="AH51" i="1"/>
  <c r="AF51" i="1"/>
  <c r="Z51" i="1"/>
  <c r="W51" i="1"/>
  <c r="K51" i="1"/>
  <c r="AI51" i="1" s="1"/>
  <c r="G51" i="1"/>
  <c r="J51" i="1" s="1"/>
  <c r="AN50" i="1"/>
  <c r="AO50" i="1" s="1"/>
  <c r="AL50" i="1"/>
  <c r="AM50" i="1" s="1"/>
  <c r="Z50" i="1"/>
  <c r="W50" i="1"/>
  <c r="K50" i="1"/>
  <c r="G50" i="1"/>
  <c r="J50" i="1" s="1"/>
  <c r="AN49" i="1"/>
  <c r="AO49" i="1" s="1"/>
  <c r="AL49" i="1"/>
  <c r="AM49" i="1" s="1"/>
  <c r="Z49" i="1"/>
  <c r="W49" i="1"/>
  <c r="K49" i="1"/>
  <c r="G49" i="1"/>
  <c r="J49" i="1" s="1"/>
  <c r="AW48" i="1"/>
  <c r="AV48" i="1"/>
  <c r="AU48" i="1"/>
  <c r="AN48" i="1"/>
  <c r="AO48" i="1" s="1"/>
  <c r="AL48" i="1"/>
  <c r="AM48" i="1" s="1"/>
  <c r="AH48" i="1"/>
  <c r="AF48" i="1"/>
  <c r="Z48" i="1"/>
  <c r="W48" i="1"/>
  <c r="K48" i="1"/>
  <c r="AI48" i="1" s="1"/>
  <c r="G48" i="1"/>
  <c r="J48" i="1" s="1"/>
  <c r="AN47" i="1"/>
  <c r="AO47" i="1" s="1"/>
  <c r="AL47" i="1"/>
  <c r="AM47" i="1" s="1"/>
  <c r="Z47" i="1"/>
  <c r="W47" i="1"/>
  <c r="K47" i="1"/>
  <c r="G47" i="1"/>
  <c r="J47" i="1" s="1"/>
  <c r="AN46" i="1"/>
  <c r="AO46" i="1" s="1"/>
  <c r="AL46" i="1"/>
  <c r="AM46" i="1" s="1"/>
  <c r="Z46" i="1"/>
  <c r="W46" i="1"/>
  <c r="K46" i="1"/>
  <c r="G46" i="1"/>
  <c r="J46" i="1" s="1"/>
  <c r="AW45" i="1"/>
  <c r="AV45" i="1"/>
  <c r="AU45" i="1"/>
  <c r="AN45" i="1"/>
  <c r="AO45" i="1" s="1"/>
  <c r="AL45" i="1"/>
  <c r="AM45" i="1" s="1"/>
  <c r="AH45" i="1"/>
  <c r="AF45" i="1"/>
  <c r="Z45" i="1"/>
  <c r="W45" i="1"/>
  <c r="K45" i="1"/>
  <c r="AI45" i="1" s="1"/>
  <c r="G45" i="1"/>
  <c r="J45" i="1" s="1"/>
  <c r="AN44" i="1"/>
  <c r="AO44" i="1" s="1"/>
  <c r="AL44" i="1"/>
  <c r="AM44" i="1" s="1"/>
  <c r="AB44" i="1"/>
  <c r="Z44" i="1"/>
  <c r="W44" i="1"/>
  <c r="K44" i="1"/>
  <c r="G44" i="1"/>
  <c r="J44" i="1" s="1"/>
  <c r="AN43" i="1"/>
  <c r="AO43" i="1" s="1"/>
  <c r="AL43" i="1"/>
  <c r="AM43" i="1" s="1"/>
  <c r="AB43" i="1"/>
  <c r="Z43" i="1"/>
  <c r="W43" i="1"/>
  <c r="K43" i="1"/>
  <c r="G43" i="1"/>
  <c r="J43" i="1" s="1"/>
  <c r="AN42" i="1"/>
  <c r="AO42" i="1" s="1"/>
  <c r="AL42" i="1"/>
  <c r="AM42" i="1" s="1"/>
  <c r="AB42" i="1"/>
  <c r="Z42" i="1"/>
  <c r="W42" i="1"/>
  <c r="K42" i="1"/>
  <c r="G42" i="1"/>
  <c r="J42" i="1" s="1"/>
  <c r="AN41" i="1"/>
  <c r="AO41" i="1" s="1"/>
  <c r="AL41" i="1"/>
  <c r="AM41" i="1" s="1"/>
  <c r="AB41" i="1"/>
  <c r="AU39" i="1" s="1"/>
  <c r="Z41" i="1"/>
  <c r="W41" i="1"/>
  <c r="K41" i="1"/>
  <c r="G41" i="1"/>
  <c r="J41" i="1" s="1"/>
  <c r="AN40" i="1"/>
  <c r="AO40" i="1" s="1"/>
  <c r="AL40" i="1"/>
  <c r="AM40" i="1" s="1"/>
  <c r="AB40" i="1"/>
  <c r="Z40" i="1"/>
  <c r="W40" i="1"/>
  <c r="K40" i="1"/>
  <c r="G40" i="1"/>
  <c r="J40" i="1" s="1"/>
  <c r="AN39" i="1"/>
  <c r="AO39" i="1" s="1"/>
  <c r="AL39" i="1"/>
  <c r="AM39" i="1" s="1"/>
  <c r="AH39" i="1"/>
  <c r="AF39" i="1"/>
  <c r="AB39" i="1"/>
  <c r="Z39" i="1"/>
  <c r="W39" i="1"/>
  <c r="K39" i="1"/>
  <c r="AI39" i="1" s="1"/>
  <c r="G39" i="1"/>
  <c r="J39" i="1" s="1"/>
  <c r="AN38" i="1"/>
  <c r="AO38" i="1" s="1"/>
  <c r="AL38" i="1"/>
  <c r="AM38" i="1" s="1"/>
  <c r="Z38" i="1"/>
  <c r="W38" i="1"/>
  <c r="K38" i="1"/>
  <c r="G38" i="1"/>
  <c r="J38" i="1" s="1"/>
  <c r="AN37" i="1"/>
  <c r="AO37" i="1" s="1"/>
  <c r="AL37" i="1"/>
  <c r="AM37" i="1" s="1"/>
  <c r="Z37" i="1"/>
  <c r="W37" i="1"/>
  <c r="K37" i="1"/>
  <c r="G37" i="1"/>
  <c r="J37" i="1" s="1"/>
  <c r="AW36" i="1"/>
  <c r="AV36" i="1"/>
  <c r="AU36" i="1"/>
  <c r="AN36" i="1"/>
  <c r="AO36" i="1" s="1"/>
  <c r="AL36" i="1"/>
  <c r="AM36" i="1" s="1"/>
  <c r="AH36" i="1"/>
  <c r="AF36" i="1"/>
  <c r="Z36" i="1"/>
  <c r="W36" i="1"/>
  <c r="K36" i="1"/>
  <c r="AI36" i="1" s="1"/>
  <c r="G36" i="1"/>
  <c r="J36" i="1" s="1"/>
  <c r="AN35" i="1"/>
  <c r="AO35" i="1" s="1"/>
  <c r="AL35" i="1"/>
  <c r="AM35" i="1" s="1"/>
  <c r="Z35" i="1"/>
  <c r="W35" i="1"/>
  <c r="K35" i="1"/>
  <c r="G35" i="1"/>
  <c r="J35" i="1" s="1"/>
  <c r="AN34" i="1"/>
  <c r="AO34" i="1" s="1"/>
  <c r="AL34" i="1"/>
  <c r="AM34" i="1" s="1"/>
  <c r="Z34" i="1"/>
  <c r="W34" i="1"/>
  <c r="K34" i="1"/>
  <c r="G34" i="1"/>
  <c r="J34" i="1" s="1"/>
  <c r="AW33" i="1"/>
  <c r="AV33" i="1"/>
  <c r="AU33" i="1"/>
  <c r="AN33" i="1"/>
  <c r="AO33" i="1" s="1"/>
  <c r="AL33" i="1"/>
  <c r="AM33" i="1" s="1"/>
  <c r="AH33" i="1"/>
  <c r="AF33" i="1"/>
  <c r="Z33" i="1"/>
  <c r="W33" i="1"/>
  <c r="K33" i="1"/>
  <c r="AI33" i="1" s="1"/>
  <c r="G33" i="1"/>
  <c r="J33" i="1" s="1"/>
  <c r="AN32" i="1"/>
  <c r="AO32" i="1" s="1"/>
  <c r="AL32" i="1"/>
  <c r="AM32" i="1" s="1"/>
  <c r="Z32" i="1"/>
  <c r="W32" i="1"/>
  <c r="K32" i="1"/>
  <c r="G32" i="1"/>
  <c r="J32" i="1" s="1"/>
  <c r="AN31" i="1"/>
  <c r="AO31" i="1" s="1"/>
  <c r="AL31" i="1"/>
  <c r="AM31" i="1" s="1"/>
  <c r="Z31" i="1"/>
  <c r="W31" i="1"/>
  <c r="K31" i="1"/>
  <c r="G31" i="1"/>
  <c r="J31" i="1" s="1"/>
  <c r="AW30" i="1"/>
  <c r="AV30" i="1"/>
  <c r="AU30" i="1"/>
  <c r="AN30" i="1"/>
  <c r="AO30" i="1" s="1"/>
  <c r="AL30" i="1"/>
  <c r="AM30" i="1" s="1"/>
  <c r="AH30" i="1"/>
  <c r="AF30" i="1"/>
  <c r="Z30" i="1"/>
  <c r="W30" i="1"/>
  <c r="K30" i="1"/>
  <c r="AI30" i="1" s="1"/>
  <c r="G30" i="1"/>
  <c r="J30" i="1" s="1"/>
  <c r="AN29" i="1"/>
  <c r="AO29" i="1" s="1"/>
  <c r="AL29" i="1"/>
  <c r="AM29" i="1" s="1"/>
  <c r="Z29" i="1"/>
  <c r="W29" i="1"/>
  <c r="K29" i="1"/>
  <c r="G29" i="1"/>
  <c r="J29" i="1" s="1"/>
  <c r="AN28" i="1"/>
  <c r="AO28" i="1" s="1"/>
  <c r="AL28" i="1"/>
  <c r="AM28" i="1" s="1"/>
  <c r="Z28" i="1"/>
  <c r="W28" i="1"/>
  <c r="K28" i="1"/>
  <c r="G28" i="1"/>
  <c r="J28" i="1" s="1"/>
  <c r="AN27" i="1"/>
  <c r="AO27" i="1" s="1"/>
  <c r="AL27" i="1"/>
  <c r="AM27" i="1" s="1"/>
  <c r="Z27" i="1"/>
  <c r="W27" i="1"/>
  <c r="K27" i="1"/>
  <c r="G27" i="1"/>
  <c r="J27" i="1" s="1"/>
  <c r="AN26" i="1"/>
  <c r="AO26" i="1" s="1"/>
  <c r="AL26" i="1"/>
  <c r="AM26" i="1" s="1"/>
  <c r="Z26" i="1"/>
  <c r="W26" i="1"/>
  <c r="K26" i="1"/>
  <c r="G26" i="1"/>
  <c r="J26" i="1" s="1"/>
  <c r="AW25" i="1"/>
  <c r="AV25" i="1"/>
  <c r="AU25" i="1"/>
  <c r="AN25" i="1"/>
  <c r="AO25" i="1" s="1"/>
  <c r="AL25" i="1"/>
  <c r="AM25" i="1" s="1"/>
  <c r="AH25" i="1"/>
  <c r="AF25" i="1"/>
  <c r="Z25" i="1"/>
  <c r="W25" i="1"/>
  <c r="K25" i="1"/>
  <c r="AI25" i="1" s="1"/>
  <c r="G25" i="1"/>
  <c r="J25" i="1" s="1"/>
  <c r="AN24" i="1"/>
  <c r="AO24" i="1" s="1"/>
  <c r="AL24" i="1"/>
  <c r="AM24" i="1" s="1"/>
  <c r="Z24" i="1"/>
  <c r="W24" i="1"/>
  <c r="K24" i="1"/>
  <c r="G24" i="1"/>
  <c r="J24" i="1" s="1"/>
  <c r="AN23" i="1"/>
  <c r="AO23" i="1" s="1"/>
  <c r="AL23" i="1"/>
  <c r="AM23" i="1" s="1"/>
  <c r="Z23" i="1"/>
  <c r="W23" i="1"/>
  <c r="K23" i="1"/>
  <c r="G23" i="1"/>
  <c r="J23" i="1" s="1"/>
  <c r="AW22" i="1"/>
  <c r="AV22" i="1"/>
  <c r="AU22" i="1"/>
  <c r="AN22" i="1"/>
  <c r="AO22" i="1" s="1"/>
  <c r="AL22" i="1"/>
  <c r="AM22" i="1" s="1"/>
  <c r="AH22" i="1"/>
  <c r="AF22" i="1"/>
  <c r="Z22" i="1"/>
  <c r="W22" i="1"/>
  <c r="K22" i="1"/>
  <c r="AI22" i="1" s="1"/>
  <c r="G22" i="1"/>
  <c r="J22" i="1" s="1"/>
  <c r="AN21" i="1"/>
  <c r="AO21" i="1" s="1"/>
  <c r="AL21" i="1"/>
  <c r="AM21" i="1" s="1"/>
  <c r="Z21" i="1"/>
  <c r="W21" i="1"/>
  <c r="K21" i="1"/>
  <c r="G21" i="1"/>
  <c r="J21" i="1" s="1"/>
  <c r="AN20" i="1"/>
  <c r="AO20" i="1" s="1"/>
  <c r="AL20" i="1"/>
  <c r="AM20" i="1" s="1"/>
  <c r="Z20" i="1"/>
  <c r="W20" i="1"/>
  <c r="K20" i="1"/>
  <c r="G20" i="1"/>
  <c r="J20" i="1" s="1"/>
  <c r="AW19" i="1"/>
  <c r="AV19" i="1"/>
  <c r="AU19" i="1"/>
  <c r="AN19" i="1"/>
  <c r="AO19" i="1" s="1"/>
  <c r="AL19" i="1"/>
  <c r="AM19" i="1" s="1"/>
  <c r="AH19" i="1"/>
  <c r="AF19" i="1"/>
  <c r="Z19" i="1"/>
  <c r="W19" i="1"/>
  <c r="K19" i="1"/>
  <c r="AI19" i="1" s="1"/>
  <c r="G19" i="1"/>
  <c r="J19" i="1" s="1"/>
  <c r="AN18" i="1"/>
  <c r="AO18" i="1" s="1"/>
  <c r="AL18" i="1"/>
  <c r="AM18" i="1" s="1"/>
  <c r="Z18" i="1"/>
  <c r="W18" i="1"/>
  <c r="K18" i="1"/>
  <c r="G18" i="1"/>
  <c r="J18" i="1" s="1"/>
  <c r="AN17" i="1"/>
  <c r="AO17" i="1" s="1"/>
  <c r="AL17" i="1"/>
  <c r="AM17" i="1" s="1"/>
  <c r="Z17" i="1"/>
  <c r="W17" i="1"/>
  <c r="K17" i="1"/>
  <c r="G17" i="1"/>
  <c r="J17" i="1" s="1"/>
  <c r="AW16" i="1"/>
  <c r="AV16" i="1"/>
  <c r="AU16" i="1"/>
  <c r="AN16" i="1"/>
  <c r="AO16" i="1" s="1"/>
  <c r="AL16" i="1"/>
  <c r="AM16" i="1" s="1"/>
  <c r="AH16" i="1"/>
  <c r="AF16" i="1"/>
  <c r="Z16" i="1"/>
  <c r="W16" i="1"/>
  <c r="K16" i="1"/>
  <c r="AI16" i="1" s="1"/>
  <c r="G16" i="1"/>
  <c r="J16" i="1" s="1"/>
  <c r="AN15" i="1"/>
  <c r="AO15" i="1" s="1"/>
  <c r="AL15" i="1"/>
  <c r="AM15" i="1" s="1"/>
  <c r="Z15" i="1"/>
  <c r="W15" i="1"/>
  <c r="K15" i="1"/>
  <c r="J15" i="1"/>
  <c r="G15" i="1"/>
  <c r="AN14" i="1"/>
  <c r="AO14" i="1" s="1"/>
  <c r="AL14" i="1"/>
  <c r="AM14" i="1" s="1"/>
  <c r="Z14" i="1"/>
  <c r="W14" i="1"/>
  <c r="K14" i="1"/>
  <c r="J14" i="1"/>
  <c r="G14" i="1"/>
  <c r="AN13" i="1"/>
  <c r="AO13" i="1" s="1"/>
  <c r="AL13" i="1"/>
  <c r="AM13" i="1" s="1"/>
  <c r="Z13" i="1"/>
  <c r="W13" i="1"/>
  <c r="K13" i="1"/>
  <c r="J13" i="1"/>
  <c r="G13" i="1"/>
  <c r="AN12" i="1"/>
  <c r="AO12" i="1" s="1"/>
  <c r="AL12" i="1"/>
  <c r="AM12" i="1" s="1"/>
  <c r="Z12" i="1"/>
  <c r="W12" i="1"/>
  <c r="K12" i="1"/>
  <c r="J12" i="1"/>
  <c r="G12" i="1"/>
  <c r="AW11" i="1"/>
  <c r="AV11" i="1"/>
  <c r="AU11" i="1"/>
  <c r="AN11" i="1"/>
  <c r="AO11" i="1" s="1"/>
  <c r="AL11" i="1"/>
  <c r="AM11" i="1" s="1"/>
  <c r="AH11" i="1"/>
  <c r="AF11" i="1"/>
  <c r="Z11" i="1"/>
  <c r="W11" i="1"/>
  <c r="K11" i="1"/>
  <c r="AI11" i="1" s="1"/>
  <c r="J11" i="1"/>
  <c r="G11" i="1"/>
  <c r="AN10" i="1"/>
  <c r="AO10" i="1" s="1"/>
  <c r="AL10" i="1"/>
  <c r="AM10" i="1" s="1"/>
  <c r="Z10" i="1"/>
  <c r="W10" i="1"/>
  <c r="K10" i="1"/>
  <c r="G10" i="1"/>
  <c r="J10" i="1" s="1"/>
  <c r="AN9" i="1"/>
  <c r="AO9" i="1" s="1"/>
  <c r="AL9" i="1"/>
  <c r="AM9" i="1" s="1"/>
  <c r="Z9" i="1"/>
  <c r="W9" i="1"/>
  <c r="K9" i="1"/>
  <c r="G9" i="1"/>
  <c r="J9" i="1" s="1"/>
  <c r="AW8" i="1"/>
  <c r="AV8" i="1"/>
  <c r="AU8" i="1"/>
  <c r="AN8" i="1"/>
  <c r="AO8" i="1" s="1"/>
  <c r="AL8" i="1"/>
  <c r="AM8" i="1" s="1"/>
  <c r="AH8" i="1"/>
  <c r="AF8" i="1"/>
  <c r="Z8" i="1"/>
  <c r="W8" i="1"/>
  <c r="K8" i="1"/>
  <c r="AI8" i="1" s="1"/>
  <c r="G8" i="1"/>
  <c r="J8" i="1" s="1"/>
  <c r="AN7" i="1"/>
  <c r="AO7" i="1" s="1"/>
  <c r="AL7" i="1"/>
  <c r="AM7" i="1" s="1"/>
  <c r="Z7" i="1"/>
  <c r="W7" i="1"/>
  <c r="K7" i="1"/>
  <c r="G7" i="1"/>
  <c r="J7" i="1" s="1"/>
  <c r="AN6" i="1"/>
  <c r="AO6" i="1" s="1"/>
  <c r="AL6" i="1"/>
  <c r="AM6" i="1" s="1"/>
  <c r="Z6" i="1"/>
  <c r="W6" i="1"/>
  <c r="K6" i="1"/>
  <c r="G6" i="1"/>
  <c r="J6" i="1" s="1"/>
  <c r="AW5" i="1"/>
  <c r="AV5" i="1"/>
  <c r="AU5" i="1"/>
  <c r="AN5" i="1"/>
  <c r="AO5" i="1" s="1"/>
  <c r="AL5" i="1"/>
  <c r="AM5" i="1" s="1"/>
  <c r="AH5" i="1"/>
  <c r="AF5" i="1"/>
  <c r="Z5" i="1"/>
  <c r="W5" i="1"/>
  <c r="K5" i="1"/>
  <c r="AI5" i="1" s="1"/>
  <c r="G5" i="1"/>
  <c r="J5" i="1" s="1"/>
  <c r="AN4" i="1"/>
  <c r="AO4" i="1" s="1"/>
  <c r="AL4" i="1"/>
  <c r="AM4" i="1" s="1"/>
  <c r="Z4" i="1"/>
  <c r="W4" i="1"/>
  <c r="K4" i="1"/>
  <c r="G4" i="1"/>
  <c r="J4" i="1" s="1"/>
  <c r="AN3" i="1"/>
  <c r="AO3" i="1" s="1"/>
  <c r="AL3" i="1"/>
  <c r="AM3" i="1" s="1"/>
  <c r="Z3" i="1"/>
  <c r="W3" i="1"/>
  <c r="K3" i="1"/>
  <c r="G3" i="1"/>
  <c r="J3" i="1" s="1"/>
  <c r="AW2" i="1"/>
  <c r="AV2" i="1"/>
  <c r="AU2" i="1"/>
  <c r="AN2" i="1"/>
  <c r="AO2" i="1" s="1"/>
  <c r="AL2" i="1"/>
  <c r="AI2" i="1"/>
  <c r="AH2" i="1"/>
  <c r="AF2" i="1"/>
  <c r="Z2" i="1"/>
  <c r="W2" i="1"/>
  <c r="K2" i="1"/>
  <c r="G2" i="1"/>
  <c r="J2" i="1" s="1"/>
  <c r="AQ259" i="1" l="1"/>
  <c r="AQ19" i="1"/>
  <c r="AS173" i="1"/>
  <c r="AQ289" i="1"/>
  <c r="AQ192" i="1"/>
  <c r="AS295" i="1"/>
  <c r="AQ163" i="1"/>
  <c r="AQ205" i="1"/>
  <c r="AM285" i="1"/>
  <c r="AO286" i="1"/>
  <c r="AM287" i="1"/>
  <c r="AQ36" i="1"/>
  <c r="AS217" i="1"/>
  <c r="AQ313" i="1"/>
  <c r="AS99" i="1"/>
  <c r="AS139" i="1"/>
  <c r="AQ151" i="1"/>
  <c r="AS253" i="1"/>
  <c r="AS36" i="1"/>
  <c r="AS136" i="1"/>
  <c r="AS244" i="1"/>
  <c r="AS268" i="1"/>
  <c r="AS307" i="1"/>
  <c r="AQ127" i="1"/>
  <c r="AQ238" i="1"/>
  <c r="AQ25" i="1"/>
  <c r="AQ145" i="1"/>
  <c r="AS182" i="1"/>
  <c r="AS195" i="1"/>
  <c r="AQ322" i="1"/>
  <c r="AQ22" i="1"/>
  <c r="AQ63" i="1"/>
  <c r="AS84" i="1"/>
  <c r="AS87" i="1"/>
  <c r="AQ179" i="1"/>
  <c r="AS247" i="1"/>
  <c r="AS262" i="1"/>
  <c r="AS301" i="1"/>
  <c r="AS39" i="1"/>
  <c r="AS133" i="1"/>
  <c r="AQ142" i="1"/>
  <c r="AQ157" i="1"/>
  <c r="AQ202" i="1"/>
  <c r="AQ226" i="1"/>
  <c r="AQ244" i="1"/>
  <c r="AQ262" i="1"/>
  <c r="AQ268" i="1"/>
  <c r="AS280" i="1"/>
  <c r="AO288" i="1"/>
  <c r="AQ316" i="1"/>
  <c r="AS328" i="1"/>
  <c r="AQ11" i="1"/>
  <c r="AQ124" i="1"/>
  <c r="AS142" i="1"/>
  <c r="AS160" i="1"/>
  <c r="AS235" i="1"/>
  <c r="AO285" i="1"/>
  <c r="AQ319" i="1"/>
  <c r="AQ16" i="1"/>
  <c r="AS19" i="1"/>
  <c r="AQ5" i="1"/>
  <c r="AS22" i="1"/>
  <c r="AQ57" i="1"/>
  <c r="AS75" i="1"/>
  <c r="AQ78" i="1"/>
  <c r="AQ81" i="1"/>
  <c r="AS111" i="1"/>
  <c r="AS121" i="1"/>
  <c r="AQ148" i="1"/>
  <c r="AS169" i="1"/>
  <c r="AS226" i="1"/>
  <c r="AS319" i="1"/>
  <c r="AS30" i="1"/>
  <c r="AS51" i="1"/>
  <c r="AS63" i="1"/>
  <c r="AQ8" i="1"/>
  <c r="AS11" i="1"/>
  <c r="AQ66" i="1"/>
  <c r="AQ69" i="1"/>
  <c r="AQ72" i="1"/>
  <c r="AQ90" i="1"/>
  <c r="AS108" i="1"/>
  <c r="AS157" i="1"/>
  <c r="AS208" i="1"/>
  <c r="AS220" i="1"/>
  <c r="AS298" i="1"/>
  <c r="AS304" i="1"/>
  <c r="AS45" i="1"/>
  <c r="AS78" i="1"/>
  <c r="AQ93" i="1"/>
  <c r="AQ139" i="1"/>
  <c r="AS8" i="1"/>
  <c r="AS16" i="1"/>
  <c r="AQ33" i="1"/>
  <c r="AS33" i="1"/>
  <c r="AQ45" i="1"/>
  <c r="AS54" i="1"/>
  <c r="AS57" i="1"/>
  <c r="AS72" i="1"/>
  <c r="AS81" i="1"/>
  <c r="AS90" i="1"/>
  <c r="AQ99" i="1"/>
  <c r="AQ121" i="1"/>
  <c r="AQ176" i="1"/>
  <c r="AQ51" i="1"/>
  <c r="AQ60" i="1"/>
  <c r="AQ166" i="1"/>
  <c r="AQ214" i="1"/>
  <c r="AQ217" i="1"/>
  <c r="AQ256" i="1"/>
  <c r="AQ292" i="1"/>
  <c r="AQ295" i="1"/>
  <c r="AQ307" i="1"/>
  <c r="AS313" i="1"/>
  <c r="AS124" i="1"/>
  <c r="AQ136" i="1"/>
  <c r="AS145" i="1"/>
  <c r="AQ154" i="1"/>
  <c r="AS166" i="1"/>
  <c r="AQ280" i="1"/>
  <c r="AO284" i="1"/>
  <c r="AS322" i="1"/>
  <c r="AQ182" i="1"/>
  <c r="AS202" i="1"/>
  <c r="AQ220" i="1"/>
  <c r="AS274" i="1"/>
  <c r="AS289" i="1"/>
  <c r="AQ298" i="1"/>
  <c r="AQ102" i="1"/>
  <c r="AH342" i="1"/>
  <c r="AH343" i="1" s="1"/>
  <c r="AS163" i="1"/>
  <c r="AS66" i="1"/>
  <c r="AQ84" i="1"/>
  <c r="AS229" i="1"/>
  <c r="AS69" i="1"/>
  <c r="AQ108" i="1"/>
  <c r="AS127" i="1"/>
  <c r="AV283" i="1"/>
  <c r="AN283" i="1"/>
  <c r="AO283" i="1" s="1"/>
  <c r="AQ48" i="1"/>
  <c r="AW39" i="1"/>
  <c r="AW342" i="1" s="1"/>
  <c r="AS48" i="1"/>
  <c r="AU93" i="1"/>
  <c r="AU342" i="1" s="1"/>
  <c r="AQ114" i="1"/>
  <c r="AS25" i="1"/>
  <c r="AS2" i="1"/>
  <c r="AS5" i="1"/>
  <c r="AQ30" i="1"/>
  <c r="AQ54" i="1"/>
  <c r="AS60" i="1"/>
  <c r="AS114" i="1"/>
  <c r="AS154" i="1"/>
  <c r="AS179" i="1"/>
  <c r="AQ253" i="1"/>
  <c r="AS271" i="1"/>
  <c r="AQ208" i="1"/>
  <c r="AQ87" i="1"/>
  <c r="AQ133" i="1"/>
  <c r="BS220" i="1"/>
  <c r="BT220" i="1"/>
  <c r="AV220" i="1"/>
  <c r="AW220" i="1"/>
  <c r="AF220" i="1"/>
  <c r="AU220" i="1"/>
  <c r="AQ241" i="1"/>
  <c r="AS259" i="1"/>
  <c r="BP284" i="1"/>
  <c r="BO284" i="1"/>
  <c r="AU283" i="1"/>
  <c r="AM288" i="1"/>
  <c r="AQ310" i="1"/>
  <c r="AS250" i="1"/>
  <c r="AM2" i="1"/>
  <c r="AQ2" i="1" s="1"/>
  <c r="BS93" i="1"/>
  <c r="BT93" i="1"/>
  <c r="AS93" i="1"/>
  <c r="AF93" i="1"/>
  <c r="AW93" i="1"/>
  <c r="AV93" i="1"/>
  <c r="BT127" i="1"/>
  <c r="BS127" i="1"/>
  <c r="AV127" i="1"/>
  <c r="AU127" i="1"/>
  <c r="AS192" i="1"/>
  <c r="AQ198" i="1"/>
  <c r="AS214" i="1"/>
  <c r="AQ247" i="1"/>
  <c r="AS256" i="1"/>
  <c r="AS310" i="1"/>
  <c r="AQ328" i="1"/>
  <c r="AQ75" i="1"/>
  <c r="AQ169" i="1"/>
  <c r="BS39" i="1"/>
  <c r="BT39" i="1"/>
  <c r="AQ39" i="1"/>
  <c r="AQ111" i="1"/>
  <c r="AF127" i="1"/>
  <c r="AS148" i="1"/>
  <c r="AS151" i="1"/>
  <c r="AQ160" i="1"/>
  <c r="AS176" i="1"/>
  <c r="BT186" i="1"/>
  <c r="BS186" i="1"/>
  <c r="AU186" i="1"/>
  <c r="AS186" i="1"/>
  <c r="AF186" i="1"/>
  <c r="AF342" i="1" s="1"/>
  <c r="AQ186" i="1"/>
  <c r="AS198" i="1"/>
  <c r="AS238" i="1"/>
  <c r="AS292" i="1"/>
  <c r="AQ195" i="1"/>
  <c r="AQ229" i="1"/>
  <c r="AQ265" i="1"/>
  <c r="AV39" i="1"/>
  <c r="AV342" i="1" s="1"/>
  <c r="BT102" i="1"/>
  <c r="BS102" i="1"/>
  <c r="AU102" i="1"/>
  <c r="AS102" i="1"/>
  <c r="AQ274" i="1"/>
  <c r="AL284" i="1"/>
  <c r="AM284" i="1" s="1"/>
  <c r="AQ304" i="1"/>
  <c r="AS316" i="1"/>
  <c r="AS325" i="1"/>
  <c r="AQ173" i="1"/>
  <c r="AU229" i="1"/>
  <c r="AF229" i="1"/>
  <c r="AQ235" i="1"/>
  <c r="AS241" i="1"/>
  <c r="AQ250" i="1"/>
  <c r="AS265" i="1"/>
  <c r="BP286" i="1"/>
  <c r="BO286" i="1"/>
  <c r="AU286" i="1"/>
  <c r="AO287" i="1"/>
  <c r="AQ301" i="1"/>
  <c r="AQ325" i="1"/>
  <c r="AV229" i="1"/>
  <c r="AS205" i="1"/>
  <c r="BT208" i="1"/>
  <c r="BS208" i="1"/>
  <c r="AV208" i="1"/>
  <c r="AQ271" i="1"/>
  <c r="BP288" i="1"/>
  <c r="BO288" i="1"/>
  <c r="BS229" i="1"/>
  <c r="BT229" i="1"/>
  <c r="BP283" i="1"/>
  <c r="BO283" i="1"/>
  <c r="AL283" i="1"/>
  <c r="BP287" i="1"/>
  <c r="BO287" i="1"/>
  <c r="BO285" i="1"/>
  <c r="BP285" i="1"/>
  <c r="AQ286" i="1" l="1"/>
  <c r="AS286" i="1"/>
  <c r="AL345" i="1"/>
  <c r="AS283" i="1"/>
  <c r="BS283" i="1"/>
  <c r="BT286" i="1"/>
  <c r="BT283" i="1"/>
  <c r="BT341" i="1" s="1"/>
  <c r="AM283" i="1"/>
  <c r="AQ283" i="1" s="1"/>
  <c r="BS286" i="1"/>
  <c r="BS341" i="1" s="1"/>
  <c r="BS345" i="1" s="1"/>
  <c r="AQ342" i="1" l="1"/>
  <c r="AQ346" i="1" s="1"/>
  <c r="AS342" i="1"/>
  <c r="BS340" i="1"/>
  <c r="BS342" i="1"/>
  <c r="BS343" i="1" s="1"/>
  <c r="BT340" i="1"/>
  <c r="BT345" i="1"/>
  <c r="BT346" i="1"/>
  <c r="BT342" i="1"/>
  <c r="BT343" i="1" s="1"/>
  <c r="AQ343" i="1" l="1"/>
  <c r="AL342" i="1"/>
  <c r="AL343" i="1" s="1"/>
</calcChain>
</file>

<file path=xl/comments1.xml><?xml version="1.0" encoding="utf-8"?>
<comments xmlns="http://schemas.openxmlformats.org/spreadsheetml/2006/main">
  <authors>
    <author>Armin Weckmann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higher value - z axis oriented against altitude. Scale in mm. 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Lower (sometimes negative) number. Scale in mm.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Scale in mm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with respect to the upper edge. Bold: toroidally on the right side (i.e. downstream). Scale in mm.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toroidal position in the machine (r=0,49m). Takes actual z position on the tile into consideration (unless no tile orientation, then mean value!). Scale in degrees.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Poloidal position in the machine (r=0,49m). Measurements along tor. axis, so all pol. positions on one tile are the same. Scale in degrees.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Concentration in peaks. If 0, no peak occured. Scale in 1E15/cm2.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Concentration in peaks. If bold, the concentration actually drops at outer edge! Scale in 1E15/cm2.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level - This does not necessarily mean a continuum! A change is just not traceable until the Ni edge. Hence, scale is in ppm instead.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Scale in ppm.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Nickel background is used as surrogate for Inconel component caused background. Scale in ppm.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Counts in Mo peaks, W counts are subtracted! 0 means either no peak or "negative" peak.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Error on Mo peak concentration, given in %. Assumption: Other errors from RBS and from fitting, 20 and 10%, respectively.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For sorting:
1 - single meas. point
av - average
x - not trusted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How representative is the measured area for the whole tile? Given in %.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How representative is the measured area for the whole tile? Given in %.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Weighted sum of Mo peak concentration in 1E15/cm2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average toroidal position respective to the gas inlet, for the whole tile.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in 1E15/cm2
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amount in the peak position (depth scale) in 1E15/cm2 - to be subtracted from "Mo peak"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Mo peak value: Peak value minus Mo background in the peak - in 1E15/cm2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background amount in the peak position (depth scale) in 1E15/cm2 - to be subtracted from "W peak"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W peak value: Peak value minus W background in the peak - in 1E15/cm2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Mo peak (Mo peak - BG under peak), weighted and summed up per tile. [1E15/cm2]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W peak concentration (W peak - W background under the peak), weighted and summed up per tile. [1E15/cm2]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behind peak, weighted and summed up per tile. [ppm]</t>
        </r>
      </text>
    </comment>
    <comment ref="AV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background behind the peak, weighted and summed up. [ppm]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Ni background, proxy for Inconel background, weighted and summed up. [ppm]
</t>
        </r>
      </text>
    </comment>
    <comment ref="BO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Assuming that the deposition is 1,5nm/s and the Mo of the experiment is actually also buried in the background. 
Hence, this value is the peak value + the background value integrated from behind the peak until the depth deposited in the experiment (growth rate*experimental time*31 discharges).</t>
        </r>
      </text>
    </comment>
    <comment ref="BV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If deposition on bumper is 1nm/s, then RBS can just assess the whole deposited Mo concentration...</t>
        </r>
      </text>
    </comment>
    <comment ref="T220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232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233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234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238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R2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</t>
        </r>
      </text>
    </comment>
    <comment ref="S2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
</t>
        </r>
      </text>
    </comment>
    <comment ref="T2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R244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uncertain</t>
        </r>
      </text>
    </comment>
    <comment ref="AK249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peak: 1400
W peak: 700 - therefore factor "/2" in AL249</t>
        </r>
      </text>
    </comment>
    <comment ref="P264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higher error...</t>
        </r>
      </text>
    </comment>
    <comment ref="S29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bigger uncertainty</t>
        </r>
      </text>
    </comment>
    <comment ref="AK313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peak: 1300
W peak: 600 - therefore factor 6/13 in AL310</t>
        </r>
      </text>
    </comment>
    <comment ref="AE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DED tile area, based on phi=[120,240], theta=360, r=49cm, R=175cm. Area given in cm2</t>
        </r>
      </text>
    </comment>
    <comment ref="AF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Amount of Mo moved during the experiment, i.e. all the Mo in the position of the Mo peak. In 1E15</t>
        </r>
      </text>
    </comment>
    <comment ref="AK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average peak width in 1E15/cm2</t>
        </r>
      </text>
    </comment>
    <comment ref="AL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Average Mo background in the peak [1E15] - i.e. machine (liner) originated Mo moved during experiment.</t>
        </r>
      </text>
    </comment>
    <comment ref="AQ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Amount of Mo from MoF6 injection on DED 1E15</t>
        </r>
      </text>
    </comment>
    <comment ref="AS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moved during the MoF6 injection, JUST BECAUSE of the injection, in 1E15</t>
        </r>
      </text>
    </comment>
    <comment ref="AU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due to former experiments with Mo, Inconel liner. In ppm</t>
        </r>
      </text>
    </comment>
    <comment ref="AV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due to previous W limiter experiments, WF6 injection etc. In ppm</t>
        </r>
      </text>
    </comment>
    <comment ref="AW34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Due to Inconel liner. In ppm</t>
        </r>
      </text>
    </comment>
    <comment ref="AE343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Fraction of respective units to total (tiles, injected amount etc.)</t>
        </r>
      </text>
    </comment>
    <comment ref="AQ345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Fraction of injected Mo from MoF6 experiment, assuming 5,7E20 injected MoF6 molecules from MoI line</t>
        </r>
      </text>
    </comment>
  </commentList>
</comments>
</file>

<file path=xl/comments2.xml><?xml version="1.0" encoding="utf-8"?>
<comments xmlns="http://schemas.openxmlformats.org/spreadsheetml/2006/main">
  <authors>
    <author>Armin Weckmann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average toroidal position respective to the gas inlet, for the whole tile.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Mo peak (Mo peak - BG under peak), weighted and summed up per tile. [1E15/cm2]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W peak concentration (W peak - W background under the peak), weighted and summed up per tile. [1E15/cm2]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behind peak, weighted and summed up per tile. [ppm]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background behind the peak, weighted and summed up. [ppm]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Ni background, proxy for Inconel background, weighted and summed up. [ppm]
</t>
        </r>
      </text>
    </comment>
  </commentList>
</comments>
</file>

<file path=xl/comments3.xml><?xml version="1.0" encoding="utf-8"?>
<comments xmlns="http://schemas.openxmlformats.org/spreadsheetml/2006/main">
  <authors>
    <author>Armin Weckmann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higher value - z axis oriented against altitude. Scale in mm. 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Lower (sometimes negative) number. Scale in mm.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Scale in mm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with respect to the upper edge. Bold: toroidally on the right side (i.e. downstream). Scale in mm.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toroidal position in the machine (r=0,49m). Takes actual z position on the tile into consideration (unless no tile orientation, then mean value!). Scale in degrees.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Poloidal position in the machine (r=0,49m). Measurements along tor. axis, so all pol. positions on one tile are the same. Scale in degrees.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Concentration in peaks. If 0, no peak occured. Scale in 1E15/cm2.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Concentration in peaks. If bold, the concentration actually drops at outer edge! Scale in 1E15/cm2.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level - This does not necessarily mean a continuum! A change is just not traceable until the Ni edge. Hence, scale is in ppm instead.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Scale in ppm.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Nickel background is used as surrogate for Inconel component caused background. Scale in ppm.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Counts in Mo peaks, W counts are subtracted! 0 means either no peak or "negative" peak.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Error on Mo peak concentration, given in %. Assumption: Other errors from RBS and from fitting, 20 and 10%, respectively.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For sorting:
1 - single meas. point
av - average
x - not trusted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How representative is the measured area for the whole tile? Given in %.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Weighted sum of Mo peak concentration in 1E15/cm2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average toroidal position respective to the gas inlet, for the whole tile.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in 1E15/cm2
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amount in the peak position (depth scale) in 1E15/cm2 - to be subtracted from "Mo peak"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Mo peak value: Peak value minus Mo background in the peak - in 1E15/cm2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background amount in the peak position (depth scale) in 1E15/cm2 - to be subtracted from "W peak"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W peak value: Peak value minus W background in the peak - in 1E15/cm2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Mo peak (Mo peak - BG under peak), weighted and summed up per tile. [1E15/cm2]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Corrected W peak concentration (W peak - W background under the peak), weighted and summed up per tile. [1E15/cm2]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Mo background behind peak, weighted and summed up per tile. [ppm]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W background behind the peak, weighted and summed up. [ppm]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Ni background, proxy for Inconel background, weighted and summed up. [ppm]
</t>
        </r>
      </text>
    </comment>
    <comment ref="T137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146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147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T148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R149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</t>
        </r>
      </text>
    </comment>
    <comment ref="S149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
</t>
        </r>
      </text>
    </comment>
    <comment ref="T149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very uncertain!</t>
        </r>
      </text>
    </comment>
    <comment ref="P154" authorId="0">
      <text>
        <r>
          <rPr>
            <b/>
            <sz val="9"/>
            <color indexed="81"/>
            <rFont val="Tahoma"/>
            <family val="2"/>
          </rPr>
          <t>Armin Weckmann:</t>
        </r>
        <r>
          <rPr>
            <sz val="9"/>
            <color indexed="81"/>
            <rFont val="Tahoma"/>
            <family val="2"/>
          </rPr>
          <t xml:space="preserve">
higher error...</t>
        </r>
      </text>
    </comment>
  </commentList>
</comments>
</file>

<file path=xl/sharedStrings.xml><?xml version="1.0" encoding="utf-8"?>
<sst xmlns="http://schemas.openxmlformats.org/spreadsheetml/2006/main" count="348" uniqueCount="161">
  <si>
    <t xml:space="preserve">DED </t>
  </si>
  <si>
    <t>row</t>
  </si>
  <si>
    <t>line</t>
  </si>
  <si>
    <t>edge low</t>
  </si>
  <si>
    <t>high</t>
  </si>
  <si>
    <t xml:space="preserve">length </t>
  </si>
  <si>
    <t>z on tile</t>
  </si>
  <si>
    <t>Θ</t>
  </si>
  <si>
    <t>Φ</t>
  </si>
  <si>
    <t>Comments on measurements</t>
  </si>
  <si>
    <t>Mo peak</t>
  </si>
  <si>
    <t>W peak</t>
  </si>
  <si>
    <t>Mo back</t>
  </si>
  <si>
    <t>W back</t>
  </si>
  <si>
    <t>Ni back</t>
  </si>
  <si>
    <t>Mo counts</t>
  </si>
  <si>
    <t>Mo error</t>
  </si>
  <si>
    <t>Category</t>
  </si>
  <si>
    <t>Comments on evaluation</t>
  </si>
  <si>
    <t>no tile orrientation!</t>
  </si>
  <si>
    <t>Special tile!</t>
  </si>
  <si>
    <t>Weight</t>
  </si>
  <si>
    <t>Mo peak looks strange…</t>
  </si>
  <si>
    <t>Mo background "negative" in respect to W background!</t>
  </si>
  <si>
    <t>Other elements: Ti, Ca</t>
  </si>
  <si>
    <t>Considerable amounts of N-15!</t>
  </si>
  <si>
    <t>224 (2)</t>
  </si>
  <si>
    <t>He fudging necessary!</t>
  </si>
  <si>
    <t>W counts</t>
  </si>
  <si>
    <t>W error</t>
  </si>
  <si>
    <t>115_2</t>
  </si>
  <si>
    <t>466new</t>
  </si>
  <si>
    <t>high Ni peak!</t>
  </si>
  <si>
    <t>506new</t>
  </si>
  <si>
    <t>much Ti!</t>
  </si>
  <si>
    <t>much W, Ni background!</t>
  </si>
  <si>
    <t>Element</t>
  </si>
  <si>
    <t>Calibration 20.3.2015</t>
  </si>
  <si>
    <t>edge</t>
  </si>
  <si>
    <t>energy</t>
  </si>
  <si>
    <t>C</t>
  </si>
  <si>
    <t>O</t>
  </si>
  <si>
    <t>Be</t>
  </si>
  <si>
    <t>W</t>
  </si>
  <si>
    <t>Mo</t>
  </si>
  <si>
    <t>ADC0</t>
  </si>
  <si>
    <t>Si</t>
  </si>
  <si>
    <t>Energy</t>
  </si>
  <si>
    <t>p*sr</t>
  </si>
  <si>
    <t>cts</t>
  </si>
  <si>
    <t>ADC0+3</t>
  </si>
  <si>
    <t>SiO</t>
  </si>
  <si>
    <t>calculate p*sr</t>
  </si>
  <si>
    <t>much Al!</t>
  </si>
  <si>
    <t>W double peak</t>
  </si>
  <si>
    <t>Zn instead of Ni?!?</t>
  </si>
  <si>
    <t>surface layer thickness ca. 1500E15 atm/cm2!!!</t>
  </si>
  <si>
    <t>double peaks for Mo and W! Treated as 1600E15 atm/cm2 layer</t>
  </si>
  <si>
    <t>ditch in Mo concentration ("anti-peak")</t>
  </si>
  <si>
    <t>very distinct pattern, large E-offset between Mo and W peaks…calibration correct?</t>
  </si>
  <si>
    <t>thick W layer, outrageously much Ni!</t>
  </si>
  <si>
    <t>current integrator has faulty value!</t>
  </si>
  <si>
    <t>very low Ni content, thin deposition layer with linear decrease</t>
  </si>
  <si>
    <t>very low but static impurity background</t>
  </si>
  <si>
    <t>very high Mo content in the peak!</t>
  </si>
  <si>
    <t>factor 10 lower counting rate!!!</t>
  </si>
  <si>
    <t>errorneous current measurement!!!</t>
  </si>
  <si>
    <t>three distinct spectra on one single tile…</t>
  </si>
  <si>
    <t>much Mo!</t>
  </si>
  <si>
    <t>very much Mo!!!</t>
  </si>
  <si>
    <t>very much Mo, N-15, Inconel in peak!!!</t>
  </si>
  <si>
    <t>REASSESS!!!</t>
  </si>
  <si>
    <t>Geom. factor!!!</t>
  </si>
  <si>
    <t>Mo peak total</t>
  </si>
  <si>
    <t>Θ aver.</t>
  </si>
  <si>
    <t>φ</t>
  </si>
  <si>
    <t>peak width</t>
  </si>
  <si>
    <t>Mo BG</t>
  </si>
  <si>
    <t>Mo peak corr.</t>
  </si>
  <si>
    <t>W BG</t>
  </si>
  <si>
    <t xml:space="preserve">W peak corr. </t>
  </si>
  <si>
    <t>449_2</t>
  </si>
  <si>
    <t>Mo corr. tot.</t>
  </si>
  <si>
    <t>W corr. tot.</t>
  </si>
  <si>
    <t>Mo back tot.</t>
  </si>
  <si>
    <t>W back tot.</t>
  </si>
  <si>
    <t>Ni back tot.</t>
  </si>
  <si>
    <t>Nr. tiles</t>
  </si>
  <si>
    <t>Fraction</t>
  </si>
  <si>
    <t>total moved Mo</t>
  </si>
  <si>
    <t>DED area</t>
  </si>
  <si>
    <t>Peak width</t>
  </si>
  <si>
    <t>inj. Mo moved</t>
  </si>
  <si>
    <t>W moved</t>
  </si>
  <si>
    <t>Av. Mo BG</t>
  </si>
  <si>
    <t>Av. W BG</t>
  </si>
  <si>
    <t>Av. Ni BG</t>
  </si>
  <si>
    <t>inj. Mo found</t>
  </si>
  <si>
    <t>326_corr</t>
  </si>
  <si>
    <t>f=1,8333333</t>
  </si>
  <si>
    <t>for correction: multiplication with factor 1/1,9</t>
  </si>
  <si>
    <t>10mm too close!</t>
  </si>
  <si>
    <t xml:space="preserve"> --&gt; geom. factor f=1,833</t>
  </si>
  <si>
    <t>326 corrected</t>
  </si>
  <si>
    <t>geom. factor approx. reproduced…</t>
  </si>
  <si>
    <t xml:space="preserve"> --&gt; usage of 1,9 instead</t>
  </si>
  <si>
    <t>corrected values by 1,9</t>
  </si>
  <si>
    <t>Calibration 29.6.15</t>
  </si>
  <si>
    <t>energy (keV)</t>
  </si>
  <si>
    <t>ADC1</t>
  </si>
  <si>
    <t>ADC3</t>
  </si>
  <si>
    <t>counts</t>
  </si>
  <si>
    <t>p/sr</t>
  </si>
  <si>
    <t>Noise calculator</t>
  </si>
  <si>
    <t>"counts"</t>
  </si>
  <si>
    <t>"p/sr"</t>
  </si>
  <si>
    <t>livetime</t>
  </si>
  <si>
    <t>EPS</t>
  </si>
  <si>
    <t>1.7.15</t>
  </si>
  <si>
    <t>on LL1</t>
  </si>
  <si>
    <t>Calibration</t>
  </si>
  <si>
    <t>Cu</t>
  </si>
  <si>
    <t>2MeV protons</t>
  </si>
  <si>
    <t>p/sr calculator</t>
  </si>
  <si>
    <t>Mo (1,5nm/s)</t>
  </si>
  <si>
    <t>Mo (3nm/s)</t>
  </si>
  <si>
    <t>Weight (1,5nm/s)</t>
  </si>
  <si>
    <t>Weight (3nm/s)</t>
  </si>
  <si>
    <t>Mo depos.</t>
  </si>
  <si>
    <t>E15</t>
  </si>
  <si>
    <t>rel. inj. %</t>
  </si>
  <si>
    <t>%</t>
  </si>
  <si>
    <t>W peak total</t>
  </si>
  <si>
    <t>Weight (2nm/s)</t>
  </si>
  <si>
    <t>Mo (2nm/s)</t>
  </si>
  <si>
    <t>W surf</t>
  </si>
  <si>
    <t>Weight (1nm/s)</t>
  </si>
  <si>
    <t>Mo (1nm/s)</t>
  </si>
  <si>
    <t>Mo with BG subtraction</t>
  </si>
  <si>
    <t>rel. inj. % - BG</t>
  </si>
  <si>
    <t>angle</t>
  </si>
  <si>
    <t>E15/cm2</t>
  </si>
  <si>
    <t>deg</t>
  </si>
  <si>
    <t>int</t>
  </si>
  <si>
    <t>RBS</t>
  </si>
  <si>
    <t>#</t>
  </si>
  <si>
    <t>keV</t>
  </si>
  <si>
    <t>Spektrum</t>
  </si>
  <si>
    <t>AlO</t>
  </si>
  <si>
    <t>Al</t>
  </si>
  <si>
    <t>Ms63</t>
  </si>
  <si>
    <t>Zr</t>
  </si>
  <si>
    <t>Zn</t>
  </si>
  <si>
    <t>CALCULATOR</t>
  </si>
  <si>
    <t>ADC1 counts</t>
  </si>
  <si>
    <t>9Be(3He,p0)11B</t>
  </si>
  <si>
    <t>9Be(3He,p1)11B</t>
  </si>
  <si>
    <t>D(3He,p)4He</t>
  </si>
  <si>
    <t>12C(3He,p0)14N</t>
  </si>
  <si>
    <t>12C(3He,p1)14N</t>
  </si>
  <si>
    <t>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</si>
</sst>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double">
        <color rgb="FF3F3F3F"/>
      </right>
      <top style="thin">
        <color rgb="FF7F7F7F"/>
      </top>
      <bottom style="thin">
        <color indexed="64"/>
      </bottom>
      <diagonal/>
    </border>
    <border>
      <left style="double">
        <color rgb="FF3F3F3F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/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1" fillId="7" borderId="3" applyNumberFormat="0" applyFont="0" applyAlignment="0" applyProtection="0"/>
    <xf numFmtId="0" fontId="7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</cellStyleXfs>
  <cellXfs count="148">
    <xf numFmtId="0" fontId="0" fillId="0" borderId="0" xfId="0"/>
    <xf numFmtId="0" fontId="3" fillId="3" borderId="0" xfId="2"/>
    <xf numFmtId="0" fontId="0" fillId="7" borderId="3" xfId="6" applyFont="1"/>
    <xf numFmtId="0" fontId="5" fillId="5" borderId="1" xfId="4"/>
    <xf numFmtId="0" fontId="4" fillId="4" borderId="1" xfId="3"/>
    <xf numFmtId="0" fontId="6" fillId="6" borderId="2" xfId="5"/>
    <xf numFmtId="0" fontId="7" fillId="5" borderId="1" xfId="7" applyFill="1" applyBorder="1"/>
    <xf numFmtId="0" fontId="1" fillId="9" borderId="0" xfId="9"/>
    <xf numFmtId="0" fontId="9" fillId="10" borderId="0" xfId="10"/>
    <xf numFmtId="0" fontId="9" fillId="12" borderId="0" xfId="12"/>
    <xf numFmtId="0" fontId="1" fillId="8" borderId="0" xfId="8"/>
    <xf numFmtId="0" fontId="1" fillId="11" borderId="0" xfId="11"/>
    <xf numFmtId="0" fontId="1" fillId="13" borderId="0" xfId="13"/>
    <xf numFmtId="0" fontId="2" fillId="2" borderId="0" xfId="1"/>
    <xf numFmtId="0" fontId="8" fillId="7" borderId="3" xfId="6" applyFont="1"/>
    <xf numFmtId="0" fontId="4" fillId="4" borderId="4" xfId="3" applyBorder="1"/>
    <xf numFmtId="0" fontId="0" fillId="7" borderId="5" xfId="6" applyFont="1" applyBorder="1"/>
    <xf numFmtId="0" fontId="6" fillId="6" borderId="6" xfId="5" applyBorder="1"/>
    <xf numFmtId="0" fontId="5" fillId="5" borderId="4" xfId="4" applyBorder="1"/>
    <xf numFmtId="0" fontId="8" fillId="7" borderId="5" xfId="6" applyFont="1" applyBorder="1"/>
    <xf numFmtId="0" fontId="7" fillId="5" borderId="4" xfId="7" applyFill="1" applyBorder="1"/>
    <xf numFmtId="0" fontId="4" fillId="4" borderId="7" xfId="3" applyBorder="1"/>
    <xf numFmtId="0" fontId="0" fillId="7" borderId="8" xfId="6" applyFont="1" applyBorder="1"/>
    <xf numFmtId="0" fontId="6" fillId="6" borderId="9" xfId="5" applyBorder="1"/>
    <xf numFmtId="0" fontId="3" fillId="3" borderId="10" xfId="2" applyBorder="1"/>
    <xf numFmtId="0" fontId="5" fillId="5" borderId="7" xfId="4" applyBorder="1"/>
    <xf numFmtId="0" fontId="7" fillId="5" borderId="7" xfId="7" applyFill="1" applyBorder="1"/>
    <xf numFmtId="0" fontId="0" fillId="0" borderId="10" xfId="0" applyBorder="1"/>
    <xf numFmtId="0" fontId="9" fillId="10" borderId="10" xfId="10" applyBorder="1"/>
    <xf numFmtId="0" fontId="9" fillId="12" borderId="10" xfId="12" applyBorder="1"/>
    <xf numFmtId="0" fontId="1" fillId="8" borderId="10" xfId="8" applyBorder="1"/>
    <xf numFmtId="0" fontId="1" fillId="11" borderId="10" xfId="11" applyBorder="1"/>
    <xf numFmtId="0" fontId="1" fillId="13" borderId="10" xfId="13" applyBorder="1"/>
    <xf numFmtId="0" fontId="1" fillId="9" borderId="10" xfId="9" applyBorder="1"/>
    <xf numFmtId="0" fontId="2" fillId="2" borderId="10" xfId="1" applyBorder="1"/>
    <xf numFmtId="0" fontId="4" fillId="4" borderId="7" xfId="3" applyFont="1" applyBorder="1"/>
    <xf numFmtId="0" fontId="1" fillId="7" borderId="8" xfId="6" applyFont="1" applyBorder="1"/>
    <xf numFmtId="0" fontId="6" fillId="6" borderId="9" xfId="5" applyFont="1" applyBorder="1"/>
    <xf numFmtId="0" fontId="3" fillId="3" borderId="10" xfId="2" applyFont="1" applyBorder="1"/>
    <xf numFmtId="0" fontId="5" fillId="5" borderId="7" xfId="4" applyFont="1" applyBorder="1"/>
    <xf numFmtId="0" fontId="1" fillId="0" borderId="10" xfId="0" applyFont="1" applyBorder="1"/>
    <xf numFmtId="0" fontId="9" fillId="10" borderId="10" xfId="10" applyFont="1" applyBorder="1"/>
    <xf numFmtId="0" fontId="9" fillId="12" borderId="10" xfId="12" applyFont="1" applyBorder="1"/>
    <xf numFmtId="0" fontId="1" fillId="8" borderId="10" xfId="8" applyFont="1" applyBorder="1"/>
    <xf numFmtId="0" fontId="1" fillId="11" borderId="10" xfId="11" applyFont="1" applyBorder="1"/>
    <xf numFmtId="0" fontId="1" fillId="13" borderId="10" xfId="13" applyFont="1" applyBorder="1"/>
    <xf numFmtId="0" fontId="1" fillId="9" borderId="10" xfId="9" applyFont="1" applyBorder="1"/>
    <xf numFmtId="0" fontId="4" fillId="4" borderId="11" xfId="3" applyBorder="1"/>
    <xf numFmtId="0" fontId="7" fillId="5" borderId="12" xfId="7" applyFill="1" applyBorder="1"/>
    <xf numFmtId="0" fontId="3" fillId="3" borderId="13" xfId="2" applyBorder="1"/>
    <xf numFmtId="0" fontId="3" fillId="3" borderId="14" xfId="2" applyBorder="1"/>
    <xf numFmtId="0" fontId="9" fillId="10" borderId="0" xfId="10" applyFont="1"/>
    <xf numFmtId="0" fontId="7" fillId="5" borderId="7" xfId="7" applyFont="1" applyFill="1" applyBorder="1"/>
    <xf numFmtId="0" fontId="0" fillId="0" borderId="0" xfId="0" applyFont="1"/>
    <xf numFmtId="0" fontId="6" fillId="10" borderId="0" xfId="10" applyFont="1"/>
    <xf numFmtId="0" fontId="1" fillId="14" borderId="10" xfId="14" applyBorder="1"/>
    <xf numFmtId="0" fontId="1" fillId="14" borderId="0" xfId="14"/>
    <xf numFmtId="0" fontId="4" fillId="4" borderId="15" xfId="3" applyBorder="1"/>
    <xf numFmtId="0" fontId="0" fillId="7" borderId="16" xfId="6" applyFont="1" applyBorder="1"/>
    <xf numFmtId="0" fontId="6" fillId="6" borderId="17" xfId="5" applyBorder="1"/>
    <xf numFmtId="0" fontId="3" fillId="3" borderId="18" xfId="2" applyBorder="1"/>
    <xf numFmtId="0" fontId="5" fillId="5" borderId="15" xfId="4" applyBorder="1"/>
    <xf numFmtId="0" fontId="7" fillId="5" borderId="15" xfId="7" applyFill="1" applyBorder="1"/>
    <xf numFmtId="0" fontId="0" fillId="0" borderId="18" xfId="0" applyBorder="1"/>
    <xf numFmtId="0" fontId="9" fillId="10" borderId="18" xfId="10" applyBorder="1"/>
    <xf numFmtId="0" fontId="9" fillId="12" borderId="18" xfId="12" applyBorder="1"/>
    <xf numFmtId="0" fontId="1" fillId="8" borderId="18" xfId="8" applyBorder="1"/>
    <xf numFmtId="0" fontId="1" fillId="11" borderId="18" xfId="11" applyBorder="1"/>
    <xf numFmtId="0" fontId="1" fillId="13" borderId="18" xfId="13" applyBorder="1"/>
    <xf numFmtId="0" fontId="1" fillId="9" borderId="18" xfId="9" applyBorder="1"/>
    <xf numFmtId="0" fontId="1" fillId="14" borderId="18" xfId="14" applyBorder="1"/>
    <xf numFmtId="0" fontId="5" fillId="5" borderId="1" xfId="4" applyFont="1"/>
    <xf numFmtId="0" fontId="0" fillId="0" borderId="0" xfId="0" applyFill="1" applyBorder="1"/>
    <xf numFmtId="0" fontId="0" fillId="0" borderId="10" xfId="0" applyFill="1" applyBorder="1"/>
    <xf numFmtId="0" fontId="2" fillId="2" borderId="0" xfId="1" applyBorder="1"/>
    <xf numFmtId="0" fontId="2" fillId="2" borderId="19" xfId="1" applyBorder="1"/>
    <xf numFmtId="0" fontId="9" fillId="15" borderId="0" xfId="15"/>
    <xf numFmtId="0" fontId="9" fillId="15" borderId="10" xfId="15" applyBorder="1"/>
    <xf numFmtId="0" fontId="8" fillId="0" borderId="0" xfId="0" applyFont="1"/>
    <xf numFmtId="11" fontId="3" fillId="3" borderId="0" xfId="2" applyNumberFormat="1"/>
    <xf numFmtId="0" fontId="12" fillId="16" borderId="0" xfId="16"/>
    <xf numFmtId="0" fontId="12" fillId="16" borderId="0" xfId="16" applyBorder="1"/>
    <xf numFmtId="0" fontId="2" fillId="2" borderId="20" xfId="1" applyBorder="1"/>
    <xf numFmtId="0" fontId="1" fillId="7" borderId="3" xfId="6" applyFont="1"/>
    <xf numFmtId="0" fontId="2" fillId="2" borderId="10" xfId="1" applyFont="1" applyBorder="1"/>
    <xf numFmtId="0" fontId="1" fillId="14" borderId="10" xfId="14" applyFont="1" applyBorder="1"/>
    <xf numFmtId="0" fontId="8" fillId="7" borderId="8" xfId="6" applyFont="1" applyBorder="1"/>
    <xf numFmtId="0" fontId="8" fillId="7" borderId="16" xfId="6" applyFont="1" applyBorder="1"/>
    <xf numFmtId="0" fontId="12" fillId="16" borderId="10" xfId="16" applyBorder="1"/>
    <xf numFmtId="0" fontId="0" fillId="0" borderId="0" xfId="0" applyFont="1" applyFill="1" applyBorder="1"/>
    <xf numFmtId="0" fontId="9" fillId="17" borderId="0" xfId="17"/>
    <xf numFmtId="0" fontId="9" fillId="17" borderId="10" xfId="17" applyBorder="1"/>
    <xf numFmtId="0" fontId="9" fillId="17" borderId="18" xfId="17" applyBorder="1"/>
    <xf numFmtId="0" fontId="0" fillId="7" borderId="3" xfId="6" applyFont="1" applyBorder="1"/>
    <xf numFmtId="0" fontId="13" fillId="7" borderId="3" xfId="18" applyFill="1" applyBorder="1"/>
    <xf numFmtId="0" fontId="9" fillId="21" borderId="0" xfId="22"/>
    <xf numFmtId="0" fontId="9" fillId="21" borderId="10" xfId="22" applyBorder="1"/>
    <xf numFmtId="0" fontId="9" fillId="21" borderId="18" xfId="22" applyBorder="1"/>
    <xf numFmtId="0" fontId="3" fillId="7" borderId="3" xfId="6" applyFont="1"/>
    <xf numFmtId="0" fontId="9" fillId="19" borderId="0" xfId="20"/>
    <xf numFmtId="0" fontId="1" fillId="20" borderId="0" xfId="21"/>
    <xf numFmtId="0" fontId="0" fillId="20" borderId="0" xfId="21" applyFont="1"/>
    <xf numFmtId="0" fontId="9" fillId="18" borderId="0" xfId="19"/>
    <xf numFmtId="0" fontId="6" fillId="6" borderId="21" xfId="5" applyBorder="1"/>
    <xf numFmtId="0" fontId="3" fillId="3" borderId="0" xfId="2" applyBorder="1"/>
    <xf numFmtId="0" fontId="0" fillId="0" borderId="0" xfId="0" applyBorder="1"/>
    <xf numFmtId="0" fontId="9" fillId="10" borderId="0" xfId="10" applyBorder="1"/>
    <xf numFmtId="0" fontId="9" fillId="12" borderId="0" xfId="12" applyBorder="1"/>
    <xf numFmtId="0" fontId="1" fillId="8" borderId="0" xfId="8" applyBorder="1"/>
    <xf numFmtId="0" fontId="1" fillId="11" borderId="0" xfId="11" applyBorder="1"/>
    <xf numFmtId="0" fontId="1" fillId="13" borderId="0" xfId="13" applyBorder="1"/>
    <xf numFmtId="0" fontId="6" fillId="6" borderId="22" xfId="5" applyBorder="1"/>
    <xf numFmtId="164" fontId="9" fillId="10" borderId="0" xfId="10" applyNumberFormat="1"/>
    <xf numFmtId="164" fontId="9" fillId="12" borderId="0" xfId="12" applyNumberFormat="1"/>
    <xf numFmtId="164" fontId="9" fillId="10" borderId="10" xfId="10" applyNumberFormat="1" applyBorder="1"/>
    <xf numFmtId="164" fontId="9" fillId="12" borderId="10" xfId="12" applyNumberFormat="1" applyBorder="1"/>
    <xf numFmtId="1" fontId="1" fillId="8" borderId="0" xfId="8" applyNumberFormat="1"/>
    <xf numFmtId="1" fontId="1" fillId="11" borderId="0" xfId="11" applyNumberFormat="1"/>
    <xf numFmtId="1" fontId="1" fillId="13" borderId="0" xfId="13" applyNumberFormat="1"/>
    <xf numFmtId="1" fontId="1" fillId="8" borderId="10" xfId="8" applyNumberFormat="1" applyBorder="1"/>
    <xf numFmtId="1" fontId="1" fillId="11" borderId="10" xfId="11" applyNumberFormat="1" applyBorder="1"/>
    <xf numFmtId="1" fontId="1" fillId="13" borderId="10" xfId="13" applyNumberFormat="1" applyBorder="1"/>
    <xf numFmtId="0" fontId="12" fillId="16" borderId="22" xfId="16" applyBorder="1"/>
    <xf numFmtId="0" fontId="4" fillId="4" borderId="0" xfId="3" applyBorder="1"/>
    <xf numFmtId="0" fontId="0" fillId="7" borderId="0" xfId="6" applyFont="1" applyBorder="1"/>
    <xf numFmtId="0" fontId="6" fillId="6" borderId="23" xfId="5" applyBorder="1"/>
    <xf numFmtId="0" fontId="8" fillId="7" borderId="0" xfId="6" applyFont="1" applyBorder="1"/>
    <xf numFmtId="0" fontId="1" fillId="9" borderId="0" xfId="9" applyBorder="1"/>
    <xf numFmtId="0" fontId="1" fillId="14" borderId="0" xfId="14" applyBorder="1"/>
    <xf numFmtId="0" fontId="5" fillId="5" borderId="11" xfId="4" applyBorder="1"/>
    <xf numFmtId="0" fontId="4" fillId="4" borderId="10" xfId="3" applyBorder="1"/>
    <xf numFmtId="0" fontId="0" fillId="7" borderId="10" xfId="6" applyFont="1" applyBorder="1"/>
    <xf numFmtId="0" fontId="14" fillId="7" borderId="3" xfId="18" applyFont="1" applyFill="1" applyBorder="1"/>
    <xf numFmtId="0" fontId="1" fillId="7" borderId="0" xfId="6" applyFont="1" applyBorder="1"/>
    <xf numFmtId="0" fontId="1" fillId="7" borderId="10" xfId="6" applyFont="1" applyBorder="1"/>
    <xf numFmtId="11" fontId="0" fillId="0" borderId="0" xfId="0" applyNumberFormat="1"/>
    <xf numFmtId="11" fontId="2" fillId="2" borderId="1" xfId="1" applyNumberFormat="1" applyBorder="1"/>
    <xf numFmtId="11" fontId="3" fillId="3" borderId="1" xfId="2" applyNumberFormat="1" applyBorder="1"/>
    <xf numFmtId="11" fontId="12" fillId="16" borderId="0" xfId="16" applyNumberFormat="1"/>
    <xf numFmtId="0" fontId="1" fillId="7" borderId="3" xfId="6" applyFont="1" applyBorder="1"/>
    <xf numFmtId="0" fontId="9" fillId="17" borderId="0" xfId="17" applyBorder="1"/>
    <xf numFmtId="0" fontId="5" fillId="5" borderId="0" xfId="4" applyBorder="1"/>
    <xf numFmtId="0" fontId="7" fillId="5" borderId="0" xfId="7" applyFill="1" applyBorder="1"/>
    <xf numFmtId="0" fontId="9" fillId="21" borderId="0" xfId="22" applyBorder="1"/>
    <xf numFmtId="14" fontId="6" fillId="6" borderId="2" xfId="5" applyNumberFormat="1"/>
    <xf numFmtId="165" fontId="12" fillId="16" borderId="0" xfId="16" applyNumberFormat="1"/>
    <xf numFmtId="0" fontId="4" fillId="4" borderId="24" xfId="3" applyBorder="1"/>
    <xf numFmtId="0" fontId="1" fillId="7" borderId="3" xfId="6"/>
  </cellXfs>
  <cellStyles count="23">
    <cellStyle name="20% - Accent1" xfId="8" builtinId="30"/>
    <cellStyle name="20% - Accent4" xfId="11" builtinId="42"/>
    <cellStyle name="20% - Accent6" xfId="13" builtinId="50"/>
    <cellStyle name="40% - Accent1" xfId="9" builtinId="31"/>
    <cellStyle name="40% - Accent3" xfId="21" builtinId="39"/>
    <cellStyle name="40% - Accent4" xfId="14" builtinId="43"/>
    <cellStyle name="60% - Accent1" xfId="10" builtinId="32"/>
    <cellStyle name="60% - Accent2" xfId="15" builtinId="36"/>
    <cellStyle name="60% - Accent4" xfId="12" builtinId="44"/>
    <cellStyle name="Accent1" xfId="17" builtinId="29"/>
    <cellStyle name="Accent2" xfId="19" builtinId="33"/>
    <cellStyle name="Accent3" xfId="20" builtinId="37"/>
    <cellStyle name="Accent4" xfId="22" builtinId="41"/>
    <cellStyle name="Bad" xfId="1" builtinId="27"/>
    <cellStyle name="Calculation" xfId="4" builtinId="22"/>
    <cellStyle name="Check Cell" xfId="5" builtinId="23"/>
    <cellStyle name="Explanatory Text" xfId="7" builtinId="53"/>
    <cellStyle name="Good" xfId="16" builtinId="26"/>
    <cellStyle name="Input" xfId="3" builtinId="20"/>
    <cellStyle name="Neutral" xfId="2" builtinId="28"/>
    <cellStyle name="Normal" xfId="0" builtinId="0"/>
    <cellStyle name="Note" xfId="6" builtinId="10"/>
    <cellStyle name="Warning Text" xfId="18" builtinId="11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75385730144911E-2"/>
          <c:y val="5.1400554097404488E-2"/>
          <c:w val="0.92036643853156874"/>
          <c:h val="0.8326195683872849"/>
        </c:manualLayout>
      </c:layout>
      <c:scatterChart>
        <c:scatterStyle val="lineMarker"/>
        <c:varyColors val="0"/>
        <c:ser>
          <c:idx val="2"/>
          <c:order val="0"/>
          <c:tx>
            <c:v>Mo poloidally (unweighted)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</c:spPr>
          </c:marker>
          <c:xVal>
            <c:numRef>
              <c:f>Results!$K$2:$K$315</c:f>
              <c:numCache>
                <c:formatCode>General</c:formatCode>
                <c:ptCount val="314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186</c:v>
                </c:pt>
                <c:pt idx="18">
                  <c:v>186</c:v>
                </c:pt>
                <c:pt idx="19">
                  <c:v>186</c:v>
                </c:pt>
                <c:pt idx="20">
                  <c:v>162</c:v>
                </c:pt>
                <c:pt idx="21">
                  <c:v>162</c:v>
                </c:pt>
                <c:pt idx="22">
                  <c:v>162</c:v>
                </c:pt>
                <c:pt idx="23">
                  <c:v>174</c:v>
                </c:pt>
                <c:pt idx="24">
                  <c:v>174</c:v>
                </c:pt>
                <c:pt idx="25">
                  <c:v>174</c:v>
                </c:pt>
                <c:pt idx="26">
                  <c:v>174</c:v>
                </c:pt>
                <c:pt idx="27">
                  <c:v>174</c:v>
                </c:pt>
                <c:pt idx="28">
                  <c:v>186</c:v>
                </c:pt>
                <c:pt idx="29">
                  <c:v>186</c:v>
                </c:pt>
                <c:pt idx="30">
                  <c:v>186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198</c:v>
                </c:pt>
                <c:pt idx="44">
                  <c:v>198</c:v>
                </c:pt>
                <c:pt idx="45">
                  <c:v>198</c:v>
                </c:pt>
                <c:pt idx="46">
                  <c:v>222</c:v>
                </c:pt>
                <c:pt idx="47">
                  <c:v>222</c:v>
                </c:pt>
                <c:pt idx="48">
                  <c:v>222</c:v>
                </c:pt>
                <c:pt idx="49">
                  <c:v>186</c:v>
                </c:pt>
                <c:pt idx="50">
                  <c:v>186</c:v>
                </c:pt>
                <c:pt idx="51">
                  <c:v>186</c:v>
                </c:pt>
                <c:pt idx="52">
                  <c:v>186</c:v>
                </c:pt>
                <c:pt idx="53">
                  <c:v>186</c:v>
                </c:pt>
                <c:pt idx="54">
                  <c:v>186</c:v>
                </c:pt>
                <c:pt idx="55">
                  <c:v>174</c:v>
                </c:pt>
                <c:pt idx="56">
                  <c:v>174</c:v>
                </c:pt>
                <c:pt idx="57">
                  <c:v>174</c:v>
                </c:pt>
                <c:pt idx="58">
                  <c:v>186</c:v>
                </c:pt>
                <c:pt idx="59">
                  <c:v>186</c:v>
                </c:pt>
                <c:pt idx="60">
                  <c:v>186</c:v>
                </c:pt>
                <c:pt idx="61">
                  <c:v>162</c:v>
                </c:pt>
                <c:pt idx="62">
                  <c:v>162</c:v>
                </c:pt>
                <c:pt idx="63">
                  <c:v>162</c:v>
                </c:pt>
                <c:pt idx="64">
                  <c:v>138</c:v>
                </c:pt>
                <c:pt idx="65">
                  <c:v>138</c:v>
                </c:pt>
                <c:pt idx="66">
                  <c:v>138</c:v>
                </c:pt>
                <c:pt idx="67">
                  <c:v>162</c:v>
                </c:pt>
                <c:pt idx="68">
                  <c:v>162</c:v>
                </c:pt>
                <c:pt idx="69">
                  <c:v>162</c:v>
                </c:pt>
                <c:pt idx="70">
                  <c:v>186</c:v>
                </c:pt>
                <c:pt idx="71">
                  <c:v>186</c:v>
                </c:pt>
                <c:pt idx="72">
                  <c:v>186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138</c:v>
                </c:pt>
                <c:pt idx="77">
                  <c:v>138</c:v>
                </c:pt>
                <c:pt idx="78">
                  <c:v>138</c:v>
                </c:pt>
                <c:pt idx="79">
                  <c:v>162</c:v>
                </c:pt>
                <c:pt idx="80">
                  <c:v>162</c:v>
                </c:pt>
                <c:pt idx="81">
                  <c:v>162</c:v>
                </c:pt>
                <c:pt idx="82">
                  <c:v>186</c:v>
                </c:pt>
                <c:pt idx="83">
                  <c:v>186</c:v>
                </c:pt>
                <c:pt idx="84">
                  <c:v>186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234</c:v>
                </c:pt>
                <c:pt idx="89">
                  <c:v>234</c:v>
                </c:pt>
                <c:pt idx="90">
                  <c:v>234</c:v>
                </c:pt>
                <c:pt idx="91">
                  <c:v>174</c:v>
                </c:pt>
                <c:pt idx="92">
                  <c:v>174</c:v>
                </c:pt>
                <c:pt idx="93">
                  <c:v>174</c:v>
                </c:pt>
                <c:pt idx="94">
                  <c:v>174</c:v>
                </c:pt>
                <c:pt idx="95">
                  <c:v>174</c:v>
                </c:pt>
                <c:pt idx="96">
                  <c:v>174</c:v>
                </c:pt>
                <c:pt idx="97">
                  <c:v>162</c:v>
                </c:pt>
                <c:pt idx="98">
                  <c:v>162</c:v>
                </c:pt>
                <c:pt idx="99">
                  <c:v>162</c:v>
                </c:pt>
                <c:pt idx="100">
                  <c:v>174</c:v>
                </c:pt>
                <c:pt idx="101">
                  <c:v>174</c:v>
                </c:pt>
                <c:pt idx="102">
                  <c:v>174</c:v>
                </c:pt>
                <c:pt idx="103">
                  <c:v>174</c:v>
                </c:pt>
                <c:pt idx="104">
                  <c:v>174</c:v>
                </c:pt>
                <c:pt idx="105">
                  <c:v>174</c:v>
                </c:pt>
                <c:pt idx="106">
                  <c:v>174</c:v>
                </c:pt>
                <c:pt idx="107">
                  <c:v>174</c:v>
                </c:pt>
                <c:pt idx="108">
                  <c:v>174</c:v>
                </c:pt>
                <c:pt idx="109">
                  <c:v>162</c:v>
                </c:pt>
                <c:pt idx="110">
                  <c:v>162</c:v>
                </c:pt>
                <c:pt idx="111">
                  <c:v>162</c:v>
                </c:pt>
                <c:pt idx="112">
                  <c:v>174</c:v>
                </c:pt>
                <c:pt idx="113">
                  <c:v>174</c:v>
                </c:pt>
                <c:pt idx="114">
                  <c:v>174</c:v>
                </c:pt>
                <c:pt idx="115">
                  <c:v>174</c:v>
                </c:pt>
                <c:pt idx="116">
                  <c:v>174</c:v>
                </c:pt>
                <c:pt idx="117">
                  <c:v>174</c:v>
                </c:pt>
                <c:pt idx="118">
                  <c:v>174</c:v>
                </c:pt>
                <c:pt idx="119">
                  <c:v>174</c:v>
                </c:pt>
                <c:pt idx="120">
                  <c:v>174</c:v>
                </c:pt>
                <c:pt idx="121">
                  <c:v>174</c:v>
                </c:pt>
                <c:pt idx="122">
                  <c:v>162</c:v>
                </c:pt>
                <c:pt idx="123">
                  <c:v>162</c:v>
                </c:pt>
                <c:pt idx="124">
                  <c:v>162</c:v>
                </c:pt>
                <c:pt idx="125">
                  <c:v>174</c:v>
                </c:pt>
                <c:pt idx="126">
                  <c:v>174</c:v>
                </c:pt>
                <c:pt idx="127">
                  <c:v>174</c:v>
                </c:pt>
                <c:pt idx="128">
                  <c:v>174</c:v>
                </c:pt>
                <c:pt idx="129">
                  <c:v>174</c:v>
                </c:pt>
                <c:pt idx="130">
                  <c:v>174</c:v>
                </c:pt>
                <c:pt idx="131">
                  <c:v>186</c:v>
                </c:pt>
                <c:pt idx="132">
                  <c:v>186</c:v>
                </c:pt>
                <c:pt idx="133">
                  <c:v>186</c:v>
                </c:pt>
                <c:pt idx="134">
                  <c:v>186</c:v>
                </c:pt>
                <c:pt idx="135">
                  <c:v>186</c:v>
                </c:pt>
                <c:pt idx="136">
                  <c:v>186</c:v>
                </c:pt>
                <c:pt idx="137">
                  <c:v>186</c:v>
                </c:pt>
                <c:pt idx="138">
                  <c:v>186</c:v>
                </c:pt>
                <c:pt idx="139">
                  <c:v>186</c:v>
                </c:pt>
                <c:pt idx="140">
                  <c:v>186</c:v>
                </c:pt>
                <c:pt idx="141">
                  <c:v>186</c:v>
                </c:pt>
                <c:pt idx="142">
                  <c:v>186</c:v>
                </c:pt>
                <c:pt idx="143">
                  <c:v>186</c:v>
                </c:pt>
                <c:pt idx="144">
                  <c:v>186</c:v>
                </c:pt>
                <c:pt idx="145">
                  <c:v>186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138</c:v>
                </c:pt>
                <c:pt idx="150">
                  <c:v>138</c:v>
                </c:pt>
                <c:pt idx="151">
                  <c:v>138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162</c:v>
                </c:pt>
                <c:pt idx="156">
                  <c:v>162</c:v>
                </c:pt>
                <c:pt idx="157">
                  <c:v>162</c:v>
                </c:pt>
                <c:pt idx="158">
                  <c:v>174</c:v>
                </c:pt>
                <c:pt idx="159">
                  <c:v>174</c:v>
                </c:pt>
                <c:pt idx="160">
                  <c:v>174</c:v>
                </c:pt>
                <c:pt idx="161">
                  <c:v>186</c:v>
                </c:pt>
                <c:pt idx="162">
                  <c:v>186</c:v>
                </c:pt>
                <c:pt idx="163">
                  <c:v>186</c:v>
                </c:pt>
                <c:pt idx="164">
                  <c:v>198</c:v>
                </c:pt>
                <c:pt idx="165">
                  <c:v>198</c:v>
                </c:pt>
                <c:pt idx="166">
                  <c:v>198</c:v>
                </c:pt>
                <c:pt idx="167">
                  <c:v>210</c:v>
                </c:pt>
                <c:pt idx="168">
                  <c:v>210</c:v>
                </c:pt>
                <c:pt idx="169">
                  <c:v>210</c:v>
                </c:pt>
                <c:pt idx="170">
                  <c:v>222</c:v>
                </c:pt>
                <c:pt idx="171">
                  <c:v>234</c:v>
                </c:pt>
                <c:pt idx="172">
                  <c:v>234</c:v>
                </c:pt>
                <c:pt idx="173">
                  <c:v>234</c:v>
                </c:pt>
                <c:pt idx="174">
                  <c:v>174</c:v>
                </c:pt>
                <c:pt idx="175">
                  <c:v>174</c:v>
                </c:pt>
                <c:pt idx="176">
                  <c:v>174</c:v>
                </c:pt>
                <c:pt idx="177">
                  <c:v>186</c:v>
                </c:pt>
                <c:pt idx="178">
                  <c:v>186</c:v>
                </c:pt>
                <c:pt idx="179">
                  <c:v>186</c:v>
                </c:pt>
                <c:pt idx="180">
                  <c:v>162</c:v>
                </c:pt>
                <c:pt idx="181">
                  <c:v>162</c:v>
                </c:pt>
                <c:pt idx="182">
                  <c:v>162</c:v>
                </c:pt>
                <c:pt idx="183">
                  <c:v>162</c:v>
                </c:pt>
                <c:pt idx="184">
                  <c:v>174</c:v>
                </c:pt>
                <c:pt idx="185">
                  <c:v>174</c:v>
                </c:pt>
                <c:pt idx="186">
                  <c:v>174</c:v>
                </c:pt>
                <c:pt idx="187">
                  <c:v>174</c:v>
                </c:pt>
                <c:pt idx="188">
                  <c:v>174</c:v>
                </c:pt>
                <c:pt idx="189">
                  <c:v>174</c:v>
                </c:pt>
                <c:pt idx="190">
                  <c:v>186</c:v>
                </c:pt>
                <c:pt idx="191">
                  <c:v>186</c:v>
                </c:pt>
                <c:pt idx="192">
                  <c:v>186</c:v>
                </c:pt>
                <c:pt idx="193">
                  <c:v>186</c:v>
                </c:pt>
                <c:pt idx="194">
                  <c:v>186</c:v>
                </c:pt>
                <c:pt idx="195">
                  <c:v>186</c:v>
                </c:pt>
                <c:pt idx="196">
                  <c:v>186</c:v>
                </c:pt>
                <c:pt idx="197">
                  <c:v>186</c:v>
                </c:pt>
                <c:pt idx="198">
                  <c:v>186</c:v>
                </c:pt>
                <c:pt idx="199">
                  <c:v>186</c:v>
                </c:pt>
                <c:pt idx="200">
                  <c:v>174</c:v>
                </c:pt>
                <c:pt idx="201">
                  <c:v>174</c:v>
                </c:pt>
                <c:pt idx="202">
                  <c:v>174</c:v>
                </c:pt>
                <c:pt idx="203">
                  <c:v>162</c:v>
                </c:pt>
                <c:pt idx="204">
                  <c:v>162</c:v>
                </c:pt>
                <c:pt idx="205">
                  <c:v>162</c:v>
                </c:pt>
                <c:pt idx="206">
                  <c:v>174</c:v>
                </c:pt>
                <c:pt idx="207">
                  <c:v>174</c:v>
                </c:pt>
                <c:pt idx="208">
                  <c:v>174</c:v>
                </c:pt>
                <c:pt idx="209">
                  <c:v>174</c:v>
                </c:pt>
                <c:pt idx="210">
                  <c:v>174</c:v>
                </c:pt>
                <c:pt idx="211">
                  <c:v>174</c:v>
                </c:pt>
                <c:pt idx="212">
                  <c:v>174</c:v>
                </c:pt>
                <c:pt idx="213">
                  <c:v>174</c:v>
                </c:pt>
                <c:pt idx="214">
                  <c:v>174</c:v>
                </c:pt>
                <c:pt idx="215">
                  <c:v>162</c:v>
                </c:pt>
                <c:pt idx="216">
                  <c:v>162</c:v>
                </c:pt>
                <c:pt idx="217">
                  <c:v>162</c:v>
                </c:pt>
                <c:pt idx="218">
                  <c:v>174</c:v>
                </c:pt>
                <c:pt idx="219">
                  <c:v>174</c:v>
                </c:pt>
                <c:pt idx="220">
                  <c:v>174</c:v>
                </c:pt>
                <c:pt idx="221">
                  <c:v>174</c:v>
                </c:pt>
                <c:pt idx="222">
                  <c:v>174</c:v>
                </c:pt>
                <c:pt idx="223">
                  <c:v>174</c:v>
                </c:pt>
                <c:pt idx="224">
                  <c:v>162</c:v>
                </c:pt>
                <c:pt idx="225">
                  <c:v>162</c:v>
                </c:pt>
                <c:pt idx="226">
                  <c:v>162</c:v>
                </c:pt>
                <c:pt idx="227">
                  <c:v>174</c:v>
                </c:pt>
                <c:pt idx="228">
                  <c:v>174</c:v>
                </c:pt>
                <c:pt idx="229">
                  <c:v>174</c:v>
                </c:pt>
                <c:pt idx="230">
                  <c:v>174</c:v>
                </c:pt>
                <c:pt idx="231">
                  <c:v>174</c:v>
                </c:pt>
                <c:pt idx="232">
                  <c:v>174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150</c:v>
                </c:pt>
                <c:pt idx="237">
                  <c:v>150</c:v>
                </c:pt>
                <c:pt idx="238">
                  <c:v>150</c:v>
                </c:pt>
                <c:pt idx="239">
                  <c:v>174</c:v>
                </c:pt>
                <c:pt idx="240">
                  <c:v>174</c:v>
                </c:pt>
                <c:pt idx="241">
                  <c:v>174</c:v>
                </c:pt>
                <c:pt idx="242">
                  <c:v>198</c:v>
                </c:pt>
                <c:pt idx="243">
                  <c:v>198</c:v>
                </c:pt>
                <c:pt idx="244">
                  <c:v>198</c:v>
                </c:pt>
                <c:pt idx="245">
                  <c:v>222</c:v>
                </c:pt>
                <c:pt idx="246">
                  <c:v>222</c:v>
                </c:pt>
                <c:pt idx="247">
                  <c:v>222</c:v>
                </c:pt>
                <c:pt idx="248">
                  <c:v>234</c:v>
                </c:pt>
                <c:pt idx="249">
                  <c:v>234</c:v>
                </c:pt>
                <c:pt idx="250">
                  <c:v>234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138</c:v>
                </c:pt>
                <c:pt idx="255">
                  <c:v>138</c:v>
                </c:pt>
                <c:pt idx="256">
                  <c:v>138</c:v>
                </c:pt>
                <c:pt idx="257">
                  <c:v>150</c:v>
                </c:pt>
                <c:pt idx="258">
                  <c:v>150</c:v>
                </c:pt>
                <c:pt idx="259">
                  <c:v>150</c:v>
                </c:pt>
                <c:pt idx="260">
                  <c:v>186</c:v>
                </c:pt>
                <c:pt idx="261">
                  <c:v>186</c:v>
                </c:pt>
                <c:pt idx="262">
                  <c:v>186</c:v>
                </c:pt>
                <c:pt idx="263">
                  <c:v>198</c:v>
                </c:pt>
                <c:pt idx="264">
                  <c:v>198</c:v>
                </c:pt>
                <c:pt idx="265">
                  <c:v>198</c:v>
                </c:pt>
                <c:pt idx="266">
                  <c:v>210</c:v>
                </c:pt>
                <c:pt idx="267">
                  <c:v>210</c:v>
                </c:pt>
                <c:pt idx="268">
                  <c:v>210</c:v>
                </c:pt>
                <c:pt idx="269">
                  <c:v>222</c:v>
                </c:pt>
                <c:pt idx="270">
                  <c:v>222</c:v>
                </c:pt>
                <c:pt idx="271">
                  <c:v>222</c:v>
                </c:pt>
                <c:pt idx="272">
                  <c:v>234</c:v>
                </c:pt>
                <c:pt idx="273">
                  <c:v>234</c:v>
                </c:pt>
                <c:pt idx="274">
                  <c:v>234</c:v>
                </c:pt>
                <c:pt idx="275">
                  <c:v>186</c:v>
                </c:pt>
                <c:pt idx="276">
                  <c:v>186</c:v>
                </c:pt>
                <c:pt idx="277">
                  <c:v>186</c:v>
                </c:pt>
                <c:pt idx="278">
                  <c:v>186</c:v>
                </c:pt>
                <c:pt idx="279">
                  <c:v>186</c:v>
                </c:pt>
                <c:pt idx="280">
                  <c:v>186</c:v>
                </c:pt>
                <c:pt idx="281">
                  <c:v>186</c:v>
                </c:pt>
                <c:pt idx="282">
                  <c:v>186</c:v>
                </c:pt>
                <c:pt idx="283">
                  <c:v>186</c:v>
                </c:pt>
                <c:pt idx="284">
                  <c:v>186</c:v>
                </c:pt>
                <c:pt idx="285">
                  <c:v>186</c:v>
                </c:pt>
                <c:pt idx="286">
                  <c:v>186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138</c:v>
                </c:pt>
                <c:pt idx="291">
                  <c:v>138</c:v>
                </c:pt>
                <c:pt idx="292">
                  <c:v>138</c:v>
                </c:pt>
                <c:pt idx="293">
                  <c:v>150</c:v>
                </c:pt>
                <c:pt idx="294">
                  <c:v>150</c:v>
                </c:pt>
                <c:pt idx="295">
                  <c:v>150</c:v>
                </c:pt>
                <c:pt idx="296">
                  <c:v>162</c:v>
                </c:pt>
                <c:pt idx="297">
                  <c:v>162</c:v>
                </c:pt>
                <c:pt idx="298">
                  <c:v>162</c:v>
                </c:pt>
                <c:pt idx="299">
                  <c:v>174</c:v>
                </c:pt>
                <c:pt idx="300">
                  <c:v>174</c:v>
                </c:pt>
                <c:pt idx="301">
                  <c:v>174</c:v>
                </c:pt>
                <c:pt idx="302">
                  <c:v>198</c:v>
                </c:pt>
                <c:pt idx="303">
                  <c:v>198</c:v>
                </c:pt>
                <c:pt idx="304">
                  <c:v>198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222</c:v>
                </c:pt>
                <c:pt idx="309">
                  <c:v>222</c:v>
                </c:pt>
                <c:pt idx="310">
                  <c:v>222</c:v>
                </c:pt>
                <c:pt idx="311">
                  <c:v>234</c:v>
                </c:pt>
                <c:pt idx="312">
                  <c:v>234</c:v>
                </c:pt>
                <c:pt idx="313">
                  <c:v>234</c:v>
                </c:pt>
              </c:numCache>
            </c:numRef>
          </c:xVal>
          <c:yVal>
            <c:numRef>
              <c:f>Results!$O$2:$O$315</c:f>
              <c:numCache>
                <c:formatCode>General</c:formatCode>
                <c:ptCount val="314"/>
                <c:pt idx="0">
                  <c:v>7.0000000000000007E-2</c:v>
                </c:pt>
                <c:pt idx="1">
                  <c:v>7.5999999999999998E-2</c:v>
                </c:pt>
                <c:pt idx="2">
                  <c:v>0.34799999999999998</c:v>
                </c:pt>
                <c:pt idx="3">
                  <c:v>0.30499999999999999</c:v>
                </c:pt>
                <c:pt idx="4">
                  <c:v>0.20200000000000001</c:v>
                </c:pt>
                <c:pt idx="5">
                  <c:v>0.26200000000000001</c:v>
                </c:pt>
                <c:pt idx="6">
                  <c:v>6.9000000000000006E-2</c:v>
                </c:pt>
                <c:pt idx="7">
                  <c:v>0.25700000000000001</c:v>
                </c:pt>
                <c:pt idx="8">
                  <c:v>6.0999999999999999E-2</c:v>
                </c:pt>
                <c:pt idx="9">
                  <c:v>0.12</c:v>
                </c:pt>
                <c:pt idx="10">
                  <c:v>0.29099999999999998</c:v>
                </c:pt>
                <c:pt idx="11">
                  <c:v>0.26</c:v>
                </c:pt>
                <c:pt idx="12">
                  <c:v>0.19600000000000001</c:v>
                </c:pt>
                <c:pt idx="13">
                  <c:v>0.24</c:v>
                </c:pt>
                <c:pt idx="14">
                  <c:v>0.38500000000000001</c:v>
                </c:pt>
                <c:pt idx="15">
                  <c:v>0.21199999999999999</c:v>
                </c:pt>
                <c:pt idx="16">
                  <c:v>0.16800000000000001</c:v>
                </c:pt>
                <c:pt idx="17">
                  <c:v>0.224</c:v>
                </c:pt>
                <c:pt idx="18">
                  <c:v>0.56699999999999995</c:v>
                </c:pt>
                <c:pt idx="19">
                  <c:v>0.36399999999999999</c:v>
                </c:pt>
                <c:pt idx="20">
                  <c:v>7.4999999999999997E-2</c:v>
                </c:pt>
                <c:pt idx="21">
                  <c:v>0.36899999999999999</c:v>
                </c:pt>
                <c:pt idx="22">
                  <c:v>0.45</c:v>
                </c:pt>
                <c:pt idx="23">
                  <c:v>4.9000000000000002E-2</c:v>
                </c:pt>
                <c:pt idx="24">
                  <c:v>0.35</c:v>
                </c:pt>
                <c:pt idx="25">
                  <c:v>0.32500000000000001</c:v>
                </c:pt>
                <c:pt idx="26">
                  <c:v>0.36599999999999999</c:v>
                </c:pt>
                <c:pt idx="27">
                  <c:v>0.46899999999999997</c:v>
                </c:pt>
                <c:pt idx="28">
                  <c:v>0.216</c:v>
                </c:pt>
                <c:pt idx="29">
                  <c:v>0.215</c:v>
                </c:pt>
                <c:pt idx="30">
                  <c:v>0.32</c:v>
                </c:pt>
                <c:pt idx="31">
                  <c:v>0.13800000000000001</c:v>
                </c:pt>
                <c:pt idx="32">
                  <c:v>0.13200000000000001</c:v>
                </c:pt>
                <c:pt idx="33">
                  <c:v>0.08</c:v>
                </c:pt>
                <c:pt idx="34">
                  <c:v>0.48199999999999998</c:v>
                </c:pt>
                <c:pt idx="35">
                  <c:v>0.375</c:v>
                </c:pt>
                <c:pt idx="36">
                  <c:v>0.39400000000000002</c:v>
                </c:pt>
                <c:pt idx="37">
                  <c:v>0.23799999999999999</c:v>
                </c:pt>
                <c:pt idx="38">
                  <c:v>0.54900000000000004</c:v>
                </c:pt>
                <c:pt idx="39">
                  <c:v>0.496</c:v>
                </c:pt>
                <c:pt idx="40">
                  <c:v>0.34200000000000003</c:v>
                </c:pt>
                <c:pt idx="41">
                  <c:v>0.33</c:v>
                </c:pt>
                <c:pt idx="42">
                  <c:v>0.25800000000000001</c:v>
                </c:pt>
                <c:pt idx="43">
                  <c:v>0.13800000000000001</c:v>
                </c:pt>
                <c:pt idx="44">
                  <c:v>0.128</c:v>
                </c:pt>
                <c:pt idx="45">
                  <c:v>0.06</c:v>
                </c:pt>
                <c:pt idx="46">
                  <c:v>0.96199999999999997</c:v>
                </c:pt>
                <c:pt idx="47">
                  <c:v>7.4999999999999997E-2</c:v>
                </c:pt>
                <c:pt idx="48">
                  <c:v>0.10199999999999999</c:v>
                </c:pt>
                <c:pt idx="49">
                  <c:v>0.15</c:v>
                </c:pt>
                <c:pt idx="50">
                  <c:v>0.16600000000000001</c:v>
                </c:pt>
                <c:pt idx="51">
                  <c:v>0.36</c:v>
                </c:pt>
                <c:pt idx="52">
                  <c:v>0.27</c:v>
                </c:pt>
                <c:pt idx="53">
                  <c:v>0.20300000000000001</c:v>
                </c:pt>
                <c:pt idx="54">
                  <c:v>0.152</c:v>
                </c:pt>
                <c:pt idx="55">
                  <c:v>0.53</c:v>
                </c:pt>
                <c:pt idx="56">
                  <c:v>0.255</c:v>
                </c:pt>
                <c:pt idx="57">
                  <c:v>0.22600000000000001</c:v>
                </c:pt>
                <c:pt idx="58">
                  <c:v>0.152</c:v>
                </c:pt>
                <c:pt idx="59">
                  <c:v>0.13800000000000001</c:v>
                </c:pt>
                <c:pt idx="60">
                  <c:v>0.26100000000000001</c:v>
                </c:pt>
                <c:pt idx="61">
                  <c:v>0.14299999999999999</c:v>
                </c:pt>
                <c:pt idx="62">
                  <c:v>0.19</c:v>
                </c:pt>
                <c:pt idx="63">
                  <c:v>0.187</c:v>
                </c:pt>
                <c:pt idx="64">
                  <c:v>0.15</c:v>
                </c:pt>
                <c:pt idx="65">
                  <c:v>0</c:v>
                </c:pt>
                <c:pt idx="66">
                  <c:v>4.3999999999999997E-2</c:v>
                </c:pt>
                <c:pt idx="67">
                  <c:v>0.13500000000000001</c:v>
                </c:pt>
                <c:pt idx="68">
                  <c:v>0.252</c:v>
                </c:pt>
                <c:pt idx="69">
                  <c:v>5.3999999999999999E-2</c:v>
                </c:pt>
                <c:pt idx="70">
                  <c:v>6.3E-2</c:v>
                </c:pt>
                <c:pt idx="71">
                  <c:v>7.1999999999999995E-2</c:v>
                </c:pt>
                <c:pt idx="72">
                  <c:v>6.9000000000000006E-2</c:v>
                </c:pt>
                <c:pt idx="73">
                  <c:v>7.1999999999999995E-2</c:v>
                </c:pt>
                <c:pt idx="74">
                  <c:v>0.12</c:v>
                </c:pt>
                <c:pt idx="75">
                  <c:v>7.8E-2</c:v>
                </c:pt>
                <c:pt idx="76">
                  <c:v>0.14000000000000001</c:v>
                </c:pt>
                <c:pt idx="77">
                  <c:v>0.27200000000000002</c:v>
                </c:pt>
                <c:pt idx="78">
                  <c:v>0.192</c:v>
                </c:pt>
                <c:pt idx="79">
                  <c:v>0.13200000000000001</c:v>
                </c:pt>
                <c:pt idx="80">
                  <c:v>0.318</c:v>
                </c:pt>
                <c:pt idx="81">
                  <c:v>8.1000000000000003E-2</c:v>
                </c:pt>
                <c:pt idx="82">
                  <c:v>5.5E-2</c:v>
                </c:pt>
                <c:pt idx="83">
                  <c:v>0.33500000000000002</c:v>
                </c:pt>
                <c:pt idx="84">
                  <c:v>9.2999999999999999E-2</c:v>
                </c:pt>
                <c:pt idx="85">
                  <c:v>5.2999999999999999E-2</c:v>
                </c:pt>
                <c:pt idx="86">
                  <c:v>0.182</c:v>
                </c:pt>
                <c:pt idx="87">
                  <c:v>0.151</c:v>
                </c:pt>
                <c:pt idx="88">
                  <c:v>0</c:v>
                </c:pt>
                <c:pt idx="89">
                  <c:v>4.2000000000000003E-2</c:v>
                </c:pt>
                <c:pt idx="90">
                  <c:v>0</c:v>
                </c:pt>
                <c:pt idx="91">
                  <c:v>0.33300000000000002</c:v>
                </c:pt>
                <c:pt idx="92">
                  <c:v>0.17399999999999999</c:v>
                </c:pt>
                <c:pt idx="93">
                  <c:v>0.16700000000000001</c:v>
                </c:pt>
                <c:pt idx="94">
                  <c:v>0.14000000000000001</c:v>
                </c:pt>
                <c:pt idx="95">
                  <c:v>0.193</c:v>
                </c:pt>
                <c:pt idx="96">
                  <c:v>0.24</c:v>
                </c:pt>
                <c:pt idx="97">
                  <c:v>0.23799999999999999</c:v>
                </c:pt>
                <c:pt idx="98">
                  <c:v>0.435</c:v>
                </c:pt>
                <c:pt idx="99">
                  <c:v>0.27</c:v>
                </c:pt>
                <c:pt idx="100">
                  <c:v>0.159</c:v>
                </c:pt>
                <c:pt idx="101">
                  <c:v>0.184</c:v>
                </c:pt>
                <c:pt idx="102">
                  <c:v>0.22800000000000001</c:v>
                </c:pt>
                <c:pt idx="103">
                  <c:v>0.252</c:v>
                </c:pt>
                <c:pt idx="104">
                  <c:v>0.26600000000000001</c:v>
                </c:pt>
                <c:pt idx="105">
                  <c:v>0.26800000000000002</c:v>
                </c:pt>
                <c:pt idx="106">
                  <c:v>0.34</c:v>
                </c:pt>
                <c:pt idx="107">
                  <c:v>0.35699999999999998</c:v>
                </c:pt>
                <c:pt idx="108">
                  <c:v>0.17699999999999999</c:v>
                </c:pt>
                <c:pt idx="109">
                  <c:v>0.64400000000000002</c:v>
                </c:pt>
                <c:pt idx="110">
                  <c:v>0.192</c:v>
                </c:pt>
                <c:pt idx="111">
                  <c:v>0.187</c:v>
                </c:pt>
                <c:pt idx="112">
                  <c:v>0.222</c:v>
                </c:pt>
                <c:pt idx="113">
                  <c:v>0.46200000000000002</c:v>
                </c:pt>
                <c:pt idx="114">
                  <c:v>0.35</c:v>
                </c:pt>
                <c:pt idx="115">
                  <c:v>0.14099999999999999</c:v>
                </c:pt>
                <c:pt idx="116">
                  <c:v>0.56999999999999995</c:v>
                </c:pt>
                <c:pt idx="117">
                  <c:v>0.24</c:v>
                </c:pt>
                <c:pt idx="118">
                  <c:v>0.16900000000000001</c:v>
                </c:pt>
                <c:pt idx="119">
                  <c:v>0.61</c:v>
                </c:pt>
                <c:pt idx="120">
                  <c:v>0.46200000000000002</c:v>
                </c:pt>
                <c:pt idx="121">
                  <c:v>0.26300000000000001</c:v>
                </c:pt>
                <c:pt idx="122">
                  <c:v>1.161</c:v>
                </c:pt>
                <c:pt idx="123">
                  <c:v>0.72</c:v>
                </c:pt>
                <c:pt idx="124">
                  <c:v>0.82399999999999995</c:v>
                </c:pt>
                <c:pt idx="125">
                  <c:v>0.68600000000000005</c:v>
                </c:pt>
                <c:pt idx="126">
                  <c:v>0.66900000000000004</c:v>
                </c:pt>
                <c:pt idx="127">
                  <c:v>0.74</c:v>
                </c:pt>
                <c:pt idx="128">
                  <c:v>0.83699999999999997</c:v>
                </c:pt>
                <c:pt idx="129">
                  <c:v>0.91800000000000004</c:v>
                </c:pt>
                <c:pt idx="130">
                  <c:v>0.65</c:v>
                </c:pt>
                <c:pt idx="131">
                  <c:v>0.188</c:v>
                </c:pt>
                <c:pt idx="132">
                  <c:v>0.40899999999999997</c:v>
                </c:pt>
                <c:pt idx="133">
                  <c:v>0.245</c:v>
                </c:pt>
                <c:pt idx="134">
                  <c:v>0.38900000000000001</c:v>
                </c:pt>
                <c:pt idx="135">
                  <c:v>1.0880000000000001</c:v>
                </c:pt>
                <c:pt idx="136">
                  <c:v>1.651</c:v>
                </c:pt>
                <c:pt idx="137">
                  <c:v>0.28000000000000003</c:v>
                </c:pt>
                <c:pt idx="138">
                  <c:v>1.079</c:v>
                </c:pt>
                <c:pt idx="139">
                  <c:v>0.71399999999999997</c:v>
                </c:pt>
                <c:pt idx="140">
                  <c:v>0.7</c:v>
                </c:pt>
                <c:pt idx="141">
                  <c:v>0.80500000000000005</c:v>
                </c:pt>
                <c:pt idx="142">
                  <c:v>0.91700000000000004</c:v>
                </c:pt>
                <c:pt idx="143">
                  <c:v>0.46500000000000002</c:v>
                </c:pt>
                <c:pt idx="144">
                  <c:v>0.57199999999999995</c:v>
                </c:pt>
                <c:pt idx="145">
                  <c:v>0.189</c:v>
                </c:pt>
                <c:pt idx="146">
                  <c:v>0.56100000000000005</c:v>
                </c:pt>
                <c:pt idx="147">
                  <c:v>0.216</c:v>
                </c:pt>
                <c:pt idx="148">
                  <c:v>1.157</c:v>
                </c:pt>
                <c:pt idx="149">
                  <c:v>0.60799999999999998</c:v>
                </c:pt>
                <c:pt idx="150">
                  <c:v>0.312</c:v>
                </c:pt>
                <c:pt idx="151">
                  <c:v>0.33700000000000002</c:v>
                </c:pt>
                <c:pt idx="152">
                  <c:v>0.14000000000000001</c:v>
                </c:pt>
                <c:pt idx="153">
                  <c:v>0.23699999999999999</c:v>
                </c:pt>
                <c:pt idx="154">
                  <c:v>0.22800000000000001</c:v>
                </c:pt>
                <c:pt idx="155">
                  <c:v>0.123</c:v>
                </c:pt>
                <c:pt idx="156">
                  <c:v>0.20499999999999999</c:v>
                </c:pt>
                <c:pt idx="157">
                  <c:v>0.156</c:v>
                </c:pt>
                <c:pt idx="158">
                  <c:v>0.08</c:v>
                </c:pt>
                <c:pt idx="159">
                  <c:v>0.185</c:v>
                </c:pt>
                <c:pt idx="160">
                  <c:v>0.13300000000000001</c:v>
                </c:pt>
                <c:pt idx="161">
                  <c:v>0.11</c:v>
                </c:pt>
                <c:pt idx="162">
                  <c:v>0.35899999999999999</c:v>
                </c:pt>
                <c:pt idx="163">
                  <c:v>0.13900000000000001</c:v>
                </c:pt>
                <c:pt idx="164">
                  <c:v>0.18</c:v>
                </c:pt>
                <c:pt idx="165">
                  <c:v>0.31900000000000001</c:v>
                </c:pt>
                <c:pt idx="166">
                  <c:v>8.3000000000000004E-2</c:v>
                </c:pt>
                <c:pt idx="167">
                  <c:v>0.434</c:v>
                </c:pt>
                <c:pt idx="168">
                  <c:v>0.33500000000000002</c:v>
                </c:pt>
                <c:pt idx="169">
                  <c:v>0.17399999999999999</c:v>
                </c:pt>
                <c:pt idx="170">
                  <c:v>0.36299999999999999</c:v>
                </c:pt>
                <c:pt idx="171">
                  <c:v>1.0069999999999999</c:v>
                </c:pt>
                <c:pt idx="172">
                  <c:v>1.1060000000000001</c:v>
                </c:pt>
                <c:pt idx="173">
                  <c:v>1.1439999999999999</c:v>
                </c:pt>
                <c:pt idx="174">
                  <c:v>0.123</c:v>
                </c:pt>
                <c:pt idx="175">
                  <c:v>0.217</c:v>
                </c:pt>
                <c:pt idx="176">
                  <c:v>0.307</c:v>
                </c:pt>
                <c:pt idx="177">
                  <c:v>7.0000000000000007E-2</c:v>
                </c:pt>
                <c:pt idx="178">
                  <c:v>0.192</c:v>
                </c:pt>
                <c:pt idx="179">
                  <c:v>0.17</c:v>
                </c:pt>
                <c:pt idx="180">
                  <c:v>0.16500000000000001</c:v>
                </c:pt>
                <c:pt idx="181">
                  <c:v>0.223</c:v>
                </c:pt>
                <c:pt idx="182">
                  <c:v>0.38200000000000001</c:v>
                </c:pt>
                <c:pt idx="183">
                  <c:v>0.437</c:v>
                </c:pt>
                <c:pt idx="184">
                  <c:v>0.13100000000000001</c:v>
                </c:pt>
                <c:pt idx="185">
                  <c:v>0.14799999999999999</c:v>
                </c:pt>
                <c:pt idx="186">
                  <c:v>0.161</c:v>
                </c:pt>
                <c:pt idx="187">
                  <c:v>0.158</c:v>
                </c:pt>
                <c:pt idx="188">
                  <c:v>0.245</c:v>
                </c:pt>
                <c:pt idx="189">
                  <c:v>0.186</c:v>
                </c:pt>
                <c:pt idx="190">
                  <c:v>8.1000000000000003E-2</c:v>
                </c:pt>
                <c:pt idx="191">
                  <c:v>0.108</c:v>
                </c:pt>
                <c:pt idx="192">
                  <c:v>0.16600000000000001</c:v>
                </c:pt>
                <c:pt idx="193">
                  <c:v>0.13200000000000001</c:v>
                </c:pt>
                <c:pt idx="194">
                  <c:v>0.17399999999999999</c:v>
                </c:pt>
                <c:pt idx="195">
                  <c:v>0.28899999999999998</c:v>
                </c:pt>
                <c:pt idx="196">
                  <c:v>0.06</c:v>
                </c:pt>
                <c:pt idx="197">
                  <c:v>0.107</c:v>
                </c:pt>
                <c:pt idx="198">
                  <c:v>0.06</c:v>
                </c:pt>
                <c:pt idx="199">
                  <c:v>0.11799999999999999</c:v>
                </c:pt>
                <c:pt idx="200">
                  <c:v>1.7999999999999999E-2</c:v>
                </c:pt>
                <c:pt idx="201">
                  <c:v>0.13900000000000001</c:v>
                </c:pt>
                <c:pt idx="202">
                  <c:v>8.5999999999999993E-2</c:v>
                </c:pt>
                <c:pt idx="203">
                  <c:v>0.157</c:v>
                </c:pt>
                <c:pt idx="204">
                  <c:v>0.154</c:v>
                </c:pt>
                <c:pt idx="205">
                  <c:v>0.111</c:v>
                </c:pt>
                <c:pt idx="206">
                  <c:v>0.107</c:v>
                </c:pt>
                <c:pt idx="207">
                  <c:v>0.124</c:v>
                </c:pt>
                <c:pt idx="208">
                  <c:v>7.8E-2</c:v>
                </c:pt>
                <c:pt idx="209">
                  <c:v>0.05</c:v>
                </c:pt>
                <c:pt idx="210">
                  <c:v>9.8000000000000004E-2</c:v>
                </c:pt>
                <c:pt idx="211">
                  <c:v>7.1999999999999995E-2</c:v>
                </c:pt>
                <c:pt idx="212">
                  <c:v>6.9000000000000006E-2</c:v>
                </c:pt>
                <c:pt idx="213">
                  <c:v>6.9000000000000006E-2</c:v>
                </c:pt>
                <c:pt idx="214">
                  <c:v>6.3E-2</c:v>
                </c:pt>
                <c:pt idx="215">
                  <c:v>3.9E-2</c:v>
                </c:pt>
                <c:pt idx="216">
                  <c:v>3.7999999999999999E-2</c:v>
                </c:pt>
                <c:pt idx="217">
                  <c:v>5.0999999999999997E-2</c:v>
                </c:pt>
                <c:pt idx="218">
                  <c:v>3.5999999999999997E-2</c:v>
                </c:pt>
                <c:pt idx="219">
                  <c:v>0.123</c:v>
                </c:pt>
                <c:pt idx="220">
                  <c:v>0.114</c:v>
                </c:pt>
                <c:pt idx="221">
                  <c:v>0.16400000000000001</c:v>
                </c:pt>
                <c:pt idx="222">
                  <c:v>0.124</c:v>
                </c:pt>
                <c:pt idx="223">
                  <c:v>0.02</c:v>
                </c:pt>
                <c:pt idx="224">
                  <c:v>6.7000000000000004E-2</c:v>
                </c:pt>
                <c:pt idx="225">
                  <c:v>6.7000000000000004E-2</c:v>
                </c:pt>
                <c:pt idx="226">
                  <c:v>0.16600000000000001</c:v>
                </c:pt>
                <c:pt idx="227">
                  <c:v>5.5E-2</c:v>
                </c:pt>
                <c:pt idx="228">
                  <c:v>0.08</c:v>
                </c:pt>
                <c:pt idx="229">
                  <c:v>7.2999999999999995E-2</c:v>
                </c:pt>
                <c:pt idx="230">
                  <c:v>0.155</c:v>
                </c:pt>
                <c:pt idx="231">
                  <c:v>0.11700000000000001</c:v>
                </c:pt>
                <c:pt idx="232">
                  <c:v>6.2E-2</c:v>
                </c:pt>
                <c:pt idx="233">
                  <c:v>0.17599999999999999</c:v>
                </c:pt>
                <c:pt idx="234">
                  <c:v>0.17599999999999999</c:v>
                </c:pt>
                <c:pt idx="235">
                  <c:v>0.124</c:v>
                </c:pt>
                <c:pt idx="236">
                  <c:v>8.5999999999999993E-2</c:v>
                </c:pt>
                <c:pt idx="237">
                  <c:v>6.7000000000000004E-2</c:v>
                </c:pt>
                <c:pt idx="238">
                  <c:v>8.8999999999999996E-2</c:v>
                </c:pt>
                <c:pt idx="239">
                  <c:v>0.13300000000000001</c:v>
                </c:pt>
                <c:pt idx="240">
                  <c:v>0.10100000000000001</c:v>
                </c:pt>
                <c:pt idx="241">
                  <c:v>7.2999999999999995E-2</c:v>
                </c:pt>
                <c:pt idx="242">
                  <c:v>0.25600000000000001</c:v>
                </c:pt>
                <c:pt idx="243">
                  <c:v>7.2999999999999995E-2</c:v>
                </c:pt>
                <c:pt idx="244">
                  <c:v>7.3999999999999996E-2</c:v>
                </c:pt>
                <c:pt idx="245">
                  <c:v>0.34599999999999997</c:v>
                </c:pt>
                <c:pt idx="246">
                  <c:v>0.17</c:v>
                </c:pt>
                <c:pt idx="247">
                  <c:v>0.54</c:v>
                </c:pt>
                <c:pt idx="248">
                  <c:v>0.32</c:v>
                </c:pt>
                <c:pt idx="249">
                  <c:v>0.14000000000000001</c:v>
                </c:pt>
                <c:pt idx="250">
                  <c:v>9.0999999999999998E-2</c:v>
                </c:pt>
                <c:pt idx="251">
                  <c:v>0.29899999999999999</c:v>
                </c:pt>
                <c:pt idx="252">
                  <c:v>0.25600000000000001</c:v>
                </c:pt>
                <c:pt idx="253">
                  <c:v>0.65900000000000003</c:v>
                </c:pt>
                <c:pt idx="254">
                  <c:v>0.12</c:v>
                </c:pt>
                <c:pt idx="255">
                  <c:v>0.45600000000000002</c:v>
                </c:pt>
                <c:pt idx="256">
                  <c:v>0.17299999999999999</c:v>
                </c:pt>
                <c:pt idx="257">
                  <c:v>0.155</c:v>
                </c:pt>
                <c:pt idx="258">
                  <c:v>0.182</c:v>
                </c:pt>
                <c:pt idx="259">
                  <c:v>0.151</c:v>
                </c:pt>
                <c:pt idx="260">
                  <c:v>0.188</c:v>
                </c:pt>
                <c:pt idx="261">
                  <c:v>0.221</c:v>
                </c:pt>
                <c:pt idx="262">
                  <c:v>0.22900000000000001</c:v>
                </c:pt>
                <c:pt idx="263">
                  <c:v>0.17899999999999999</c:v>
                </c:pt>
                <c:pt idx="264">
                  <c:v>0.23599999999999999</c:v>
                </c:pt>
                <c:pt idx="265">
                  <c:v>0.182</c:v>
                </c:pt>
                <c:pt idx="266">
                  <c:v>0.112</c:v>
                </c:pt>
                <c:pt idx="267">
                  <c:v>0.112</c:v>
                </c:pt>
                <c:pt idx="268">
                  <c:v>0.14199999999999999</c:v>
                </c:pt>
                <c:pt idx="269">
                  <c:v>0.29399999999999998</c:v>
                </c:pt>
                <c:pt idx="270">
                  <c:v>0.25900000000000001</c:v>
                </c:pt>
                <c:pt idx="271">
                  <c:v>0.25900000000000001</c:v>
                </c:pt>
                <c:pt idx="272">
                  <c:v>0.56399999999999995</c:v>
                </c:pt>
                <c:pt idx="273">
                  <c:v>0.26900000000000002</c:v>
                </c:pt>
                <c:pt idx="274">
                  <c:v>0.875</c:v>
                </c:pt>
                <c:pt idx="275">
                  <c:v>0.23100000000000001</c:v>
                </c:pt>
                <c:pt idx="276">
                  <c:v>0.25</c:v>
                </c:pt>
                <c:pt idx="277">
                  <c:v>0.126</c:v>
                </c:pt>
                <c:pt idx="278">
                  <c:v>0.122</c:v>
                </c:pt>
                <c:pt idx="279">
                  <c:v>0.13</c:v>
                </c:pt>
                <c:pt idx="280">
                  <c:v>6.4000000000000001E-2</c:v>
                </c:pt>
                <c:pt idx="281" formatCode="0.000">
                  <c:v>0.16263157894736843</c:v>
                </c:pt>
                <c:pt idx="282" formatCode="0.000">
                  <c:v>0.18473684210526314</c:v>
                </c:pt>
                <c:pt idx="283" formatCode="0.000">
                  <c:v>0.13210526315789475</c:v>
                </c:pt>
                <c:pt idx="284" formatCode="0.000">
                  <c:v>0.78578947368421059</c:v>
                </c:pt>
                <c:pt idx="285" formatCode="0.000">
                  <c:v>0.34947368421052633</c:v>
                </c:pt>
                <c:pt idx="286" formatCode="0.000">
                  <c:v>0.72526315789473683</c:v>
                </c:pt>
                <c:pt idx="287">
                  <c:v>2.4430000000000001</c:v>
                </c:pt>
                <c:pt idx="288">
                  <c:v>0.91300000000000003</c:v>
                </c:pt>
                <c:pt idx="289">
                  <c:v>1.899</c:v>
                </c:pt>
                <c:pt idx="290">
                  <c:v>0.34899999999999998</c:v>
                </c:pt>
                <c:pt idx="291">
                  <c:v>0.66100000000000003</c:v>
                </c:pt>
                <c:pt idx="292">
                  <c:v>1.026</c:v>
                </c:pt>
                <c:pt idx="293">
                  <c:v>0.435</c:v>
                </c:pt>
                <c:pt idx="294">
                  <c:v>0.46200000000000002</c:v>
                </c:pt>
                <c:pt idx="295">
                  <c:v>0.34</c:v>
                </c:pt>
                <c:pt idx="296">
                  <c:v>0.36899999999999999</c:v>
                </c:pt>
                <c:pt idx="297">
                  <c:v>0.39800000000000002</c:v>
                </c:pt>
                <c:pt idx="298">
                  <c:v>0.55200000000000005</c:v>
                </c:pt>
                <c:pt idx="299">
                  <c:v>0.57199999999999995</c:v>
                </c:pt>
                <c:pt idx="300">
                  <c:v>0.26300000000000001</c:v>
                </c:pt>
                <c:pt idx="301">
                  <c:v>0.48699999999999999</c:v>
                </c:pt>
                <c:pt idx="302">
                  <c:v>1.427</c:v>
                </c:pt>
                <c:pt idx="303">
                  <c:v>0.32100000000000001</c:v>
                </c:pt>
                <c:pt idx="304">
                  <c:v>0.30299999999999999</c:v>
                </c:pt>
                <c:pt idx="305">
                  <c:v>0.996</c:v>
                </c:pt>
                <c:pt idx="306">
                  <c:v>0.30599999999999999</c:v>
                </c:pt>
                <c:pt idx="307">
                  <c:v>0.88300000000000001</c:v>
                </c:pt>
                <c:pt idx="308">
                  <c:v>2.875</c:v>
                </c:pt>
                <c:pt idx="309">
                  <c:v>0.52600000000000002</c:v>
                </c:pt>
                <c:pt idx="310">
                  <c:v>1.327</c:v>
                </c:pt>
                <c:pt idx="311">
                  <c:v>4.67</c:v>
                </c:pt>
                <c:pt idx="312">
                  <c:v>1.01</c:v>
                </c:pt>
                <c:pt idx="313">
                  <c:v>3.5470000000000002</c:v>
                </c:pt>
              </c:numCache>
            </c:numRef>
          </c:yVal>
          <c:smooth val="0"/>
        </c:ser>
        <c:ser>
          <c:idx val="3"/>
          <c:order val="1"/>
          <c:tx>
            <c:v>Mo poloidally (weighted)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FFC000"/>
              </a:solidFill>
            </c:spPr>
          </c:marker>
          <c:xVal>
            <c:numRef>
              <c:f>Results!$AI$2:$AI$313</c:f>
              <c:numCache>
                <c:formatCode>General</c:formatCode>
                <c:ptCount val="312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Results!$AF$2:$AF$313</c:f>
              <c:numCache>
                <c:formatCode>General</c:formatCode>
                <c:ptCount val="312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0.22139999999999996</c:v>
                </c:pt>
                <c:pt idx="14">
                  <c:v>0.22270000000000001</c:v>
                </c:pt>
                <c:pt idx="17">
                  <c:v>0.51239999999999997</c:v>
                </c:pt>
                <c:pt idx="20">
                  <c:v>0.34769999999999995</c:v>
                </c:pt>
                <c:pt idx="23">
                  <c:v>0.31180000000000002</c:v>
                </c:pt>
                <c:pt idx="28">
                  <c:v>0.23085</c:v>
                </c:pt>
                <c:pt idx="31">
                  <c:v>0.12740000000000001</c:v>
                </c:pt>
                <c:pt idx="34">
                  <c:v>0.3876</c:v>
                </c:pt>
                <c:pt idx="37">
                  <c:v>0.3688333333333334</c:v>
                </c:pt>
                <c:pt idx="43">
                  <c:v>0.12560000000000002</c:v>
                </c:pt>
                <c:pt idx="46">
                  <c:v>0.2094</c:v>
                </c:pt>
                <c:pt idx="49">
                  <c:v>0.1741</c:v>
                </c:pt>
                <c:pt idx="52">
                  <c:v>0.2046</c:v>
                </c:pt>
                <c:pt idx="55">
                  <c:v>0.27960000000000002</c:v>
                </c:pt>
                <c:pt idx="58">
                  <c:v>0.14554999999999998</c:v>
                </c:pt>
                <c:pt idx="61">
                  <c:v>0.185</c:v>
                </c:pt>
                <c:pt idx="64">
                  <c:v>1.9400000000000001E-2</c:v>
                </c:pt>
                <c:pt idx="67">
                  <c:v>0.21869999999999998</c:v>
                </c:pt>
                <c:pt idx="70">
                  <c:v>7.0349999999999996E-2</c:v>
                </c:pt>
                <c:pt idx="73">
                  <c:v>0.111</c:v>
                </c:pt>
                <c:pt idx="76">
                  <c:v>0.24420000000000003</c:v>
                </c:pt>
                <c:pt idx="79">
                  <c:v>0.2571</c:v>
                </c:pt>
                <c:pt idx="82">
                  <c:v>0.26690000000000003</c:v>
                </c:pt>
                <c:pt idx="85">
                  <c:v>0.14019999999999999</c:v>
                </c:pt>
                <c:pt idx="88">
                  <c:v>2.9400000000000003E-2</c:v>
                </c:pt>
                <c:pt idx="91">
                  <c:v>0.20783333333333334</c:v>
                </c:pt>
                <c:pt idx="97">
                  <c:v>0.39880000000000004</c:v>
                </c:pt>
                <c:pt idx="100">
                  <c:v>0.22616666666666671</c:v>
                </c:pt>
                <c:pt idx="106">
                  <c:v>0.31929999999999997</c:v>
                </c:pt>
                <c:pt idx="109">
                  <c:v>0.23569999999999999</c:v>
                </c:pt>
                <c:pt idx="112">
                  <c:v>0.312</c:v>
                </c:pt>
                <c:pt idx="119">
                  <c:v>0.3574</c:v>
                </c:pt>
                <c:pt idx="122">
                  <c:v>0.82899999999999996</c:v>
                </c:pt>
                <c:pt idx="125">
                  <c:v>0.75</c:v>
                </c:pt>
                <c:pt idx="131">
                  <c:v>0.29385</c:v>
                </c:pt>
                <c:pt idx="134">
                  <c:v>1.0744</c:v>
                </c:pt>
                <c:pt idx="137">
                  <c:v>0.9625999999999999</c:v>
                </c:pt>
                <c:pt idx="140">
                  <c:v>0.80570000000000008</c:v>
                </c:pt>
                <c:pt idx="143">
                  <c:v>0.50385000000000002</c:v>
                </c:pt>
                <c:pt idx="146">
                  <c:v>0.46850000000000003</c:v>
                </c:pt>
                <c:pt idx="149">
                  <c:v>0.33305000000000001</c:v>
                </c:pt>
                <c:pt idx="152">
                  <c:v>0.23079999999999998</c:v>
                </c:pt>
                <c:pt idx="155">
                  <c:v>0.19435000000000002</c:v>
                </c:pt>
                <c:pt idx="158">
                  <c:v>0.17189999999999997</c:v>
                </c:pt>
                <c:pt idx="161">
                  <c:v>0.31209999999999999</c:v>
                </c:pt>
                <c:pt idx="164">
                  <c:v>0.28149999999999997</c:v>
                </c:pt>
                <c:pt idx="167">
                  <c:v>0.32880000000000004</c:v>
                </c:pt>
                <c:pt idx="170">
                  <c:v>0.36299999999999999</c:v>
                </c:pt>
                <c:pt idx="171">
                  <c:v>1.0937999999999999</c:v>
                </c:pt>
                <c:pt idx="174">
                  <c:v>0.21660000000000001</c:v>
                </c:pt>
                <c:pt idx="177">
                  <c:v>0.1837</c:v>
                </c:pt>
                <c:pt idx="180">
                  <c:v>0.30235000000000001</c:v>
                </c:pt>
                <c:pt idx="184">
                  <c:v>0.17150000000000001</c:v>
                </c:pt>
                <c:pt idx="190">
                  <c:v>0.11110000000000002</c:v>
                </c:pt>
                <c:pt idx="193">
                  <c:v>0.18129999999999999</c:v>
                </c:pt>
                <c:pt idx="196">
                  <c:v>7.2849999999999998E-2</c:v>
                </c:pt>
                <c:pt idx="200">
                  <c:v>0.12765000000000001</c:v>
                </c:pt>
                <c:pt idx="203">
                  <c:v>0.14984999999999998</c:v>
                </c:pt>
                <c:pt idx="206">
                  <c:v>8.77E-2</c:v>
                </c:pt>
                <c:pt idx="212">
                  <c:v>6.6300000000000012E-2</c:v>
                </c:pt>
                <c:pt idx="215">
                  <c:v>3.9400000000000004E-2</c:v>
                </c:pt>
                <c:pt idx="218">
                  <c:v>0.10583749999999999</c:v>
                </c:pt>
                <c:pt idx="224">
                  <c:v>7.690000000000001E-2</c:v>
                </c:pt>
                <c:pt idx="227">
                  <c:v>9.8912500000000014E-2</c:v>
                </c:pt>
                <c:pt idx="233">
                  <c:v>0.1656</c:v>
                </c:pt>
                <c:pt idx="236">
                  <c:v>8.5349999999999995E-2</c:v>
                </c:pt>
                <c:pt idx="239">
                  <c:v>0.12380000000000001</c:v>
                </c:pt>
                <c:pt idx="242">
                  <c:v>0.2195</c:v>
                </c:pt>
                <c:pt idx="245">
                  <c:v>0.35749999999999998</c:v>
                </c:pt>
                <c:pt idx="248">
                  <c:v>0.27910000000000001</c:v>
                </c:pt>
                <c:pt idx="251">
                  <c:v>0.40269999999999995</c:v>
                </c:pt>
                <c:pt idx="254">
                  <c:v>0.18984999999999999</c:v>
                </c:pt>
                <c:pt idx="257">
                  <c:v>0.15595000000000001</c:v>
                </c:pt>
                <c:pt idx="260">
                  <c:v>0.19539999999999999</c:v>
                </c:pt>
                <c:pt idx="263">
                  <c:v>0.185</c:v>
                </c:pt>
                <c:pt idx="266">
                  <c:v>0.11800000000000001</c:v>
                </c:pt>
                <c:pt idx="269">
                  <c:v>0.28349999999999997</c:v>
                </c:pt>
                <c:pt idx="272">
                  <c:v>0.56479999999999997</c:v>
                </c:pt>
                <c:pt idx="278">
                  <c:v>0.11119999999999999</c:v>
                </c:pt>
                <c:pt idx="281">
                  <c:v>0.16178947368421054</c:v>
                </c:pt>
                <c:pt idx="284">
                  <c:v>0.71189473684210525</c:v>
                </c:pt>
                <c:pt idx="287">
                  <c:v>2.2627999999999999</c:v>
                </c:pt>
                <c:pt idx="290">
                  <c:v>0.68484999999999996</c:v>
                </c:pt>
                <c:pt idx="293">
                  <c:v>0.42819999999999991</c:v>
                </c:pt>
                <c:pt idx="296">
                  <c:v>0.38874999999999998</c:v>
                </c:pt>
                <c:pt idx="299">
                  <c:v>0.54804999999999993</c:v>
                </c:pt>
                <c:pt idx="302">
                  <c:v>1.0345000000000002</c:v>
                </c:pt>
                <c:pt idx="305">
                  <c:v>0.67420000000000002</c:v>
                </c:pt>
                <c:pt idx="308">
                  <c:v>1.786</c:v>
                </c:pt>
                <c:pt idx="311">
                  <c:v>3.7695499999999997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15488"/>
        <c:axId val="103217408"/>
      </c:scatterChart>
      <c:valAx>
        <c:axId val="103215488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3217408"/>
        <c:crosses val="autoZero"/>
        <c:crossBetween val="midCat"/>
        <c:majorUnit val="12"/>
        <c:minorUnit val="2"/>
      </c:valAx>
      <c:valAx>
        <c:axId val="10321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215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709483637030077"/>
          <c:y val="9.544126146670355E-2"/>
          <c:w val="0.21709733158355204"/>
          <c:h val="0.37075422863808688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width - poloidal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Results!$AK$1</c:f>
              <c:strCache>
                <c:ptCount val="1"/>
                <c:pt idx="0">
                  <c:v>peak width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Results!$K$2:$K$315</c:f>
              <c:numCache>
                <c:formatCode>General</c:formatCode>
                <c:ptCount val="314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186</c:v>
                </c:pt>
                <c:pt idx="18">
                  <c:v>186</c:v>
                </c:pt>
                <c:pt idx="19">
                  <c:v>186</c:v>
                </c:pt>
                <c:pt idx="20">
                  <c:v>162</c:v>
                </c:pt>
                <c:pt idx="21">
                  <c:v>162</c:v>
                </c:pt>
                <c:pt idx="22">
                  <c:v>162</c:v>
                </c:pt>
                <c:pt idx="23">
                  <c:v>174</c:v>
                </c:pt>
                <c:pt idx="24">
                  <c:v>174</c:v>
                </c:pt>
                <c:pt idx="25">
                  <c:v>174</c:v>
                </c:pt>
                <c:pt idx="26">
                  <c:v>174</c:v>
                </c:pt>
                <c:pt idx="27">
                  <c:v>174</c:v>
                </c:pt>
                <c:pt idx="28">
                  <c:v>186</c:v>
                </c:pt>
                <c:pt idx="29">
                  <c:v>186</c:v>
                </c:pt>
                <c:pt idx="30">
                  <c:v>186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198</c:v>
                </c:pt>
                <c:pt idx="44">
                  <c:v>198</c:v>
                </c:pt>
                <c:pt idx="45">
                  <c:v>198</c:v>
                </c:pt>
                <c:pt idx="46">
                  <c:v>222</c:v>
                </c:pt>
                <c:pt idx="47">
                  <c:v>222</c:v>
                </c:pt>
                <c:pt idx="48">
                  <c:v>222</c:v>
                </c:pt>
                <c:pt idx="49">
                  <c:v>186</c:v>
                </c:pt>
                <c:pt idx="50">
                  <c:v>186</c:v>
                </c:pt>
                <c:pt idx="51">
                  <c:v>186</c:v>
                </c:pt>
                <c:pt idx="52">
                  <c:v>186</c:v>
                </c:pt>
                <c:pt idx="53">
                  <c:v>186</c:v>
                </c:pt>
                <c:pt idx="54">
                  <c:v>186</c:v>
                </c:pt>
                <c:pt idx="55">
                  <c:v>174</c:v>
                </c:pt>
                <c:pt idx="56">
                  <c:v>174</c:v>
                </c:pt>
                <c:pt idx="57">
                  <c:v>174</c:v>
                </c:pt>
                <c:pt idx="58">
                  <c:v>186</c:v>
                </c:pt>
                <c:pt idx="59">
                  <c:v>186</c:v>
                </c:pt>
                <c:pt idx="60">
                  <c:v>186</c:v>
                </c:pt>
                <c:pt idx="61">
                  <c:v>162</c:v>
                </c:pt>
                <c:pt idx="62">
                  <c:v>162</c:v>
                </c:pt>
                <c:pt idx="63">
                  <c:v>162</c:v>
                </c:pt>
                <c:pt idx="64">
                  <c:v>138</c:v>
                </c:pt>
                <c:pt idx="65">
                  <c:v>138</c:v>
                </c:pt>
                <c:pt idx="66">
                  <c:v>138</c:v>
                </c:pt>
                <c:pt idx="67">
                  <c:v>162</c:v>
                </c:pt>
                <c:pt idx="68">
                  <c:v>162</c:v>
                </c:pt>
                <c:pt idx="69">
                  <c:v>162</c:v>
                </c:pt>
                <c:pt idx="70">
                  <c:v>186</c:v>
                </c:pt>
                <c:pt idx="71">
                  <c:v>186</c:v>
                </c:pt>
                <c:pt idx="72">
                  <c:v>186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138</c:v>
                </c:pt>
                <c:pt idx="77">
                  <c:v>138</c:v>
                </c:pt>
                <c:pt idx="78">
                  <c:v>138</c:v>
                </c:pt>
                <c:pt idx="79">
                  <c:v>162</c:v>
                </c:pt>
                <c:pt idx="80">
                  <c:v>162</c:v>
                </c:pt>
                <c:pt idx="81">
                  <c:v>162</c:v>
                </c:pt>
                <c:pt idx="82">
                  <c:v>186</c:v>
                </c:pt>
                <c:pt idx="83">
                  <c:v>186</c:v>
                </c:pt>
                <c:pt idx="84">
                  <c:v>186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234</c:v>
                </c:pt>
                <c:pt idx="89">
                  <c:v>234</c:v>
                </c:pt>
                <c:pt idx="90">
                  <c:v>234</c:v>
                </c:pt>
                <c:pt idx="91">
                  <c:v>174</c:v>
                </c:pt>
                <c:pt idx="92">
                  <c:v>174</c:v>
                </c:pt>
                <c:pt idx="93">
                  <c:v>174</c:v>
                </c:pt>
                <c:pt idx="94">
                  <c:v>174</c:v>
                </c:pt>
                <c:pt idx="95">
                  <c:v>174</c:v>
                </c:pt>
                <c:pt idx="96">
                  <c:v>174</c:v>
                </c:pt>
                <c:pt idx="97">
                  <c:v>162</c:v>
                </c:pt>
                <c:pt idx="98">
                  <c:v>162</c:v>
                </c:pt>
                <c:pt idx="99">
                  <c:v>162</c:v>
                </c:pt>
                <c:pt idx="100">
                  <c:v>174</c:v>
                </c:pt>
                <c:pt idx="101">
                  <c:v>174</c:v>
                </c:pt>
                <c:pt idx="102">
                  <c:v>174</c:v>
                </c:pt>
                <c:pt idx="103">
                  <c:v>174</c:v>
                </c:pt>
                <c:pt idx="104">
                  <c:v>174</c:v>
                </c:pt>
                <c:pt idx="105">
                  <c:v>174</c:v>
                </c:pt>
                <c:pt idx="106">
                  <c:v>174</c:v>
                </c:pt>
                <c:pt idx="107">
                  <c:v>174</c:v>
                </c:pt>
                <c:pt idx="108">
                  <c:v>174</c:v>
                </c:pt>
                <c:pt idx="109">
                  <c:v>162</c:v>
                </c:pt>
                <c:pt idx="110">
                  <c:v>162</c:v>
                </c:pt>
                <c:pt idx="111">
                  <c:v>162</c:v>
                </c:pt>
                <c:pt idx="112">
                  <c:v>174</c:v>
                </c:pt>
                <c:pt idx="113">
                  <c:v>174</c:v>
                </c:pt>
                <c:pt idx="114">
                  <c:v>174</c:v>
                </c:pt>
                <c:pt idx="115">
                  <c:v>174</c:v>
                </c:pt>
                <c:pt idx="116">
                  <c:v>174</c:v>
                </c:pt>
                <c:pt idx="117">
                  <c:v>174</c:v>
                </c:pt>
                <c:pt idx="118">
                  <c:v>174</c:v>
                </c:pt>
                <c:pt idx="119">
                  <c:v>174</c:v>
                </c:pt>
                <c:pt idx="120">
                  <c:v>174</c:v>
                </c:pt>
                <c:pt idx="121">
                  <c:v>174</c:v>
                </c:pt>
                <c:pt idx="122">
                  <c:v>162</c:v>
                </c:pt>
                <c:pt idx="123">
                  <c:v>162</c:v>
                </c:pt>
                <c:pt idx="124">
                  <c:v>162</c:v>
                </c:pt>
                <c:pt idx="125">
                  <c:v>174</c:v>
                </c:pt>
                <c:pt idx="126">
                  <c:v>174</c:v>
                </c:pt>
                <c:pt idx="127">
                  <c:v>174</c:v>
                </c:pt>
                <c:pt idx="128">
                  <c:v>174</c:v>
                </c:pt>
                <c:pt idx="129">
                  <c:v>174</c:v>
                </c:pt>
                <c:pt idx="130">
                  <c:v>174</c:v>
                </c:pt>
                <c:pt idx="131">
                  <c:v>186</c:v>
                </c:pt>
                <c:pt idx="132">
                  <c:v>186</c:v>
                </c:pt>
                <c:pt idx="133">
                  <c:v>186</c:v>
                </c:pt>
                <c:pt idx="134">
                  <c:v>186</c:v>
                </c:pt>
                <c:pt idx="135">
                  <c:v>186</c:v>
                </c:pt>
                <c:pt idx="136">
                  <c:v>186</c:v>
                </c:pt>
                <c:pt idx="137">
                  <c:v>186</c:v>
                </c:pt>
                <c:pt idx="138">
                  <c:v>186</c:v>
                </c:pt>
                <c:pt idx="139">
                  <c:v>186</c:v>
                </c:pt>
                <c:pt idx="140">
                  <c:v>186</c:v>
                </c:pt>
                <c:pt idx="141">
                  <c:v>186</c:v>
                </c:pt>
                <c:pt idx="142">
                  <c:v>186</c:v>
                </c:pt>
                <c:pt idx="143">
                  <c:v>186</c:v>
                </c:pt>
                <c:pt idx="144">
                  <c:v>186</c:v>
                </c:pt>
                <c:pt idx="145">
                  <c:v>186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138</c:v>
                </c:pt>
                <c:pt idx="150">
                  <c:v>138</c:v>
                </c:pt>
                <c:pt idx="151">
                  <c:v>138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162</c:v>
                </c:pt>
                <c:pt idx="156">
                  <c:v>162</c:v>
                </c:pt>
                <c:pt idx="157">
                  <c:v>162</c:v>
                </c:pt>
                <c:pt idx="158">
                  <c:v>174</c:v>
                </c:pt>
                <c:pt idx="159">
                  <c:v>174</c:v>
                </c:pt>
                <c:pt idx="160">
                  <c:v>174</c:v>
                </c:pt>
                <c:pt idx="161">
                  <c:v>186</c:v>
                </c:pt>
                <c:pt idx="162">
                  <c:v>186</c:v>
                </c:pt>
                <c:pt idx="163">
                  <c:v>186</c:v>
                </c:pt>
                <c:pt idx="164">
                  <c:v>198</c:v>
                </c:pt>
                <c:pt idx="165">
                  <c:v>198</c:v>
                </c:pt>
                <c:pt idx="166">
                  <c:v>198</c:v>
                </c:pt>
                <c:pt idx="167">
                  <c:v>210</c:v>
                </c:pt>
                <c:pt idx="168">
                  <c:v>210</c:v>
                </c:pt>
                <c:pt idx="169">
                  <c:v>210</c:v>
                </c:pt>
                <c:pt idx="170">
                  <c:v>222</c:v>
                </c:pt>
                <c:pt idx="171">
                  <c:v>234</c:v>
                </c:pt>
                <c:pt idx="172">
                  <c:v>234</c:v>
                </c:pt>
                <c:pt idx="173">
                  <c:v>234</c:v>
                </c:pt>
                <c:pt idx="174">
                  <c:v>174</c:v>
                </c:pt>
                <c:pt idx="175">
                  <c:v>174</c:v>
                </c:pt>
                <c:pt idx="176">
                  <c:v>174</c:v>
                </c:pt>
                <c:pt idx="177">
                  <c:v>186</c:v>
                </c:pt>
                <c:pt idx="178">
                  <c:v>186</c:v>
                </c:pt>
                <c:pt idx="179">
                  <c:v>186</c:v>
                </c:pt>
                <c:pt idx="180">
                  <c:v>162</c:v>
                </c:pt>
                <c:pt idx="181">
                  <c:v>162</c:v>
                </c:pt>
                <c:pt idx="182">
                  <c:v>162</c:v>
                </c:pt>
                <c:pt idx="183">
                  <c:v>162</c:v>
                </c:pt>
                <c:pt idx="184">
                  <c:v>174</c:v>
                </c:pt>
                <c:pt idx="185">
                  <c:v>174</c:v>
                </c:pt>
                <c:pt idx="186">
                  <c:v>174</c:v>
                </c:pt>
                <c:pt idx="187">
                  <c:v>174</c:v>
                </c:pt>
                <c:pt idx="188">
                  <c:v>174</c:v>
                </c:pt>
                <c:pt idx="189">
                  <c:v>174</c:v>
                </c:pt>
                <c:pt idx="190">
                  <c:v>186</c:v>
                </c:pt>
                <c:pt idx="191">
                  <c:v>186</c:v>
                </c:pt>
                <c:pt idx="192">
                  <c:v>186</c:v>
                </c:pt>
                <c:pt idx="193">
                  <c:v>186</c:v>
                </c:pt>
                <c:pt idx="194">
                  <c:v>186</c:v>
                </c:pt>
                <c:pt idx="195">
                  <c:v>186</c:v>
                </c:pt>
                <c:pt idx="196">
                  <c:v>186</c:v>
                </c:pt>
                <c:pt idx="197">
                  <c:v>186</c:v>
                </c:pt>
                <c:pt idx="198">
                  <c:v>186</c:v>
                </c:pt>
                <c:pt idx="199">
                  <c:v>186</c:v>
                </c:pt>
                <c:pt idx="200">
                  <c:v>174</c:v>
                </c:pt>
                <c:pt idx="201">
                  <c:v>174</c:v>
                </c:pt>
                <c:pt idx="202">
                  <c:v>174</c:v>
                </c:pt>
                <c:pt idx="203">
                  <c:v>162</c:v>
                </c:pt>
                <c:pt idx="204">
                  <c:v>162</c:v>
                </c:pt>
                <c:pt idx="205">
                  <c:v>162</c:v>
                </c:pt>
                <c:pt idx="206">
                  <c:v>174</c:v>
                </c:pt>
                <c:pt idx="207">
                  <c:v>174</c:v>
                </c:pt>
                <c:pt idx="208">
                  <c:v>174</c:v>
                </c:pt>
                <c:pt idx="209">
                  <c:v>174</c:v>
                </c:pt>
                <c:pt idx="210">
                  <c:v>174</c:v>
                </c:pt>
                <c:pt idx="211">
                  <c:v>174</c:v>
                </c:pt>
                <c:pt idx="212">
                  <c:v>174</c:v>
                </c:pt>
                <c:pt idx="213">
                  <c:v>174</c:v>
                </c:pt>
                <c:pt idx="214">
                  <c:v>174</c:v>
                </c:pt>
                <c:pt idx="215">
                  <c:v>162</c:v>
                </c:pt>
                <c:pt idx="216">
                  <c:v>162</c:v>
                </c:pt>
                <c:pt idx="217">
                  <c:v>162</c:v>
                </c:pt>
                <c:pt idx="218">
                  <c:v>174</c:v>
                </c:pt>
                <c:pt idx="219">
                  <c:v>174</c:v>
                </c:pt>
                <c:pt idx="220">
                  <c:v>174</c:v>
                </c:pt>
                <c:pt idx="221">
                  <c:v>174</c:v>
                </c:pt>
                <c:pt idx="222">
                  <c:v>174</c:v>
                </c:pt>
                <c:pt idx="223">
                  <c:v>174</c:v>
                </c:pt>
                <c:pt idx="224">
                  <c:v>162</c:v>
                </c:pt>
                <c:pt idx="225">
                  <c:v>162</c:v>
                </c:pt>
                <c:pt idx="226">
                  <c:v>162</c:v>
                </c:pt>
                <c:pt idx="227">
                  <c:v>174</c:v>
                </c:pt>
                <c:pt idx="228">
                  <c:v>174</c:v>
                </c:pt>
                <c:pt idx="229">
                  <c:v>174</c:v>
                </c:pt>
                <c:pt idx="230">
                  <c:v>174</c:v>
                </c:pt>
                <c:pt idx="231">
                  <c:v>174</c:v>
                </c:pt>
                <c:pt idx="232">
                  <c:v>174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150</c:v>
                </c:pt>
                <c:pt idx="237">
                  <c:v>150</c:v>
                </c:pt>
                <c:pt idx="238">
                  <c:v>150</c:v>
                </c:pt>
                <c:pt idx="239">
                  <c:v>174</c:v>
                </c:pt>
                <c:pt idx="240">
                  <c:v>174</c:v>
                </c:pt>
                <c:pt idx="241">
                  <c:v>174</c:v>
                </c:pt>
                <c:pt idx="242">
                  <c:v>198</c:v>
                </c:pt>
                <c:pt idx="243">
                  <c:v>198</c:v>
                </c:pt>
                <c:pt idx="244">
                  <c:v>198</c:v>
                </c:pt>
                <c:pt idx="245">
                  <c:v>222</c:v>
                </c:pt>
                <c:pt idx="246">
                  <c:v>222</c:v>
                </c:pt>
                <c:pt idx="247">
                  <c:v>222</c:v>
                </c:pt>
                <c:pt idx="248">
                  <c:v>234</c:v>
                </c:pt>
                <c:pt idx="249">
                  <c:v>234</c:v>
                </c:pt>
                <c:pt idx="250">
                  <c:v>234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138</c:v>
                </c:pt>
                <c:pt idx="255">
                  <c:v>138</c:v>
                </c:pt>
                <c:pt idx="256">
                  <c:v>138</c:v>
                </c:pt>
                <c:pt idx="257">
                  <c:v>150</c:v>
                </c:pt>
                <c:pt idx="258">
                  <c:v>150</c:v>
                </c:pt>
                <c:pt idx="259">
                  <c:v>150</c:v>
                </c:pt>
                <c:pt idx="260">
                  <c:v>186</c:v>
                </c:pt>
                <c:pt idx="261">
                  <c:v>186</c:v>
                </c:pt>
                <c:pt idx="262">
                  <c:v>186</c:v>
                </c:pt>
                <c:pt idx="263">
                  <c:v>198</c:v>
                </c:pt>
                <c:pt idx="264">
                  <c:v>198</c:v>
                </c:pt>
                <c:pt idx="265">
                  <c:v>198</c:v>
                </c:pt>
                <c:pt idx="266">
                  <c:v>210</c:v>
                </c:pt>
                <c:pt idx="267">
                  <c:v>210</c:v>
                </c:pt>
                <c:pt idx="268">
                  <c:v>210</c:v>
                </c:pt>
                <c:pt idx="269">
                  <c:v>222</c:v>
                </c:pt>
                <c:pt idx="270">
                  <c:v>222</c:v>
                </c:pt>
                <c:pt idx="271">
                  <c:v>222</c:v>
                </c:pt>
                <c:pt idx="272">
                  <c:v>234</c:v>
                </c:pt>
                <c:pt idx="273">
                  <c:v>234</c:v>
                </c:pt>
                <c:pt idx="274">
                  <c:v>234</c:v>
                </c:pt>
                <c:pt idx="275">
                  <c:v>186</c:v>
                </c:pt>
                <c:pt idx="276">
                  <c:v>186</c:v>
                </c:pt>
                <c:pt idx="277">
                  <c:v>186</c:v>
                </c:pt>
                <c:pt idx="278">
                  <c:v>186</c:v>
                </c:pt>
                <c:pt idx="279">
                  <c:v>186</c:v>
                </c:pt>
                <c:pt idx="280">
                  <c:v>186</c:v>
                </c:pt>
                <c:pt idx="281">
                  <c:v>186</c:v>
                </c:pt>
                <c:pt idx="282">
                  <c:v>186</c:v>
                </c:pt>
                <c:pt idx="283">
                  <c:v>186</c:v>
                </c:pt>
                <c:pt idx="284">
                  <c:v>186</c:v>
                </c:pt>
                <c:pt idx="285">
                  <c:v>186</c:v>
                </c:pt>
                <c:pt idx="286">
                  <c:v>186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138</c:v>
                </c:pt>
                <c:pt idx="291">
                  <c:v>138</c:v>
                </c:pt>
                <c:pt idx="292">
                  <c:v>138</c:v>
                </c:pt>
                <c:pt idx="293">
                  <c:v>150</c:v>
                </c:pt>
                <c:pt idx="294">
                  <c:v>150</c:v>
                </c:pt>
                <c:pt idx="295">
                  <c:v>150</c:v>
                </c:pt>
                <c:pt idx="296">
                  <c:v>162</c:v>
                </c:pt>
                <c:pt idx="297">
                  <c:v>162</c:v>
                </c:pt>
                <c:pt idx="298">
                  <c:v>162</c:v>
                </c:pt>
                <c:pt idx="299">
                  <c:v>174</c:v>
                </c:pt>
                <c:pt idx="300">
                  <c:v>174</c:v>
                </c:pt>
                <c:pt idx="301">
                  <c:v>174</c:v>
                </c:pt>
                <c:pt idx="302">
                  <c:v>198</c:v>
                </c:pt>
                <c:pt idx="303">
                  <c:v>198</c:v>
                </c:pt>
                <c:pt idx="304">
                  <c:v>198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222</c:v>
                </c:pt>
                <c:pt idx="309">
                  <c:v>222</c:v>
                </c:pt>
                <c:pt idx="310">
                  <c:v>222</c:v>
                </c:pt>
                <c:pt idx="311">
                  <c:v>234</c:v>
                </c:pt>
                <c:pt idx="312">
                  <c:v>234</c:v>
                </c:pt>
                <c:pt idx="313">
                  <c:v>234</c:v>
                </c:pt>
              </c:numCache>
            </c:numRef>
          </c:xVal>
          <c:yVal>
            <c:numRef>
              <c:f>Results!$AK$2:$AK$315</c:f>
              <c:numCache>
                <c:formatCode>General</c:formatCode>
                <c:ptCount val="3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600</c:v>
                </c:pt>
                <c:pt idx="10">
                  <c:v>600</c:v>
                </c:pt>
                <c:pt idx="11">
                  <c:v>500</c:v>
                </c:pt>
                <c:pt idx="12">
                  <c:v>400</c:v>
                </c:pt>
                <c:pt idx="13">
                  <c:v>500</c:v>
                </c:pt>
                <c:pt idx="14">
                  <c:v>700</c:v>
                </c:pt>
                <c:pt idx="15">
                  <c:v>500</c:v>
                </c:pt>
                <c:pt idx="16">
                  <c:v>700</c:v>
                </c:pt>
                <c:pt idx="17">
                  <c:v>400</c:v>
                </c:pt>
                <c:pt idx="18">
                  <c:v>600</c:v>
                </c:pt>
                <c:pt idx="19">
                  <c:v>700</c:v>
                </c:pt>
                <c:pt idx="20">
                  <c:v>600</c:v>
                </c:pt>
                <c:pt idx="21">
                  <c:v>900</c:v>
                </c:pt>
                <c:pt idx="22">
                  <c:v>500</c:v>
                </c:pt>
                <c:pt idx="23">
                  <c:v>700</c:v>
                </c:pt>
                <c:pt idx="24">
                  <c:v>1000</c:v>
                </c:pt>
                <c:pt idx="25">
                  <c:v>1000</c:v>
                </c:pt>
                <c:pt idx="26">
                  <c:v>1200</c:v>
                </c:pt>
                <c:pt idx="27">
                  <c:v>1400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600</c:v>
                </c:pt>
                <c:pt idx="35">
                  <c:v>600</c:v>
                </c:pt>
                <c:pt idx="36">
                  <c:v>800</c:v>
                </c:pt>
                <c:pt idx="37">
                  <c:v>600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800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1400</c:v>
                </c:pt>
                <c:pt idx="47">
                  <c:v>600</c:v>
                </c:pt>
                <c:pt idx="48">
                  <c:v>700</c:v>
                </c:pt>
                <c:pt idx="49">
                  <c:v>600</c:v>
                </c:pt>
                <c:pt idx="50">
                  <c:v>600</c:v>
                </c:pt>
                <c:pt idx="51">
                  <c:v>800</c:v>
                </c:pt>
                <c:pt idx="52">
                  <c:v>0</c:v>
                </c:pt>
                <c:pt idx="53">
                  <c:v>700</c:v>
                </c:pt>
                <c:pt idx="54">
                  <c:v>500</c:v>
                </c:pt>
                <c:pt idx="55">
                  <c:v>1000</c:v>
                </c:pt>
                <c:pt idx="56">
                  <c:v>600</c:v>
                </c:pt>
                <c:pt idx="57">
                  <c:v>800</c:v>
                </c:pt>
                <c:pt idx="58">
                  <c:v>800</c:v>
                </c:pt>
                <c:pt idx="59">
                  <c:v>600</c:v>
                </c:pt>
                <c:pt idx="60">
                  <c:v>600</c:v>
                </c:pt>
                <c:pt idx="61">
                  <c:v>700</c:v>
                </c:pt>
                <c:pt idx="62">
                  <c:v>700</c:v>
                </c:pt>
                <c:pt idx="63">
                  <c:v>600</c:v>
                </c:pt>
                <c:pt idx="64">
                  <c:v>1000</c:v>
                </c:pt>
                <c:pt idx="65">
                  <c:v>0</c:v>
                </c:pt>
                <c:pt idx="66">
                  <c:v>1100</c:v>
                </c:pt>
                <c:pt idx="67">
                  <c:v>600</c:v>
                </c:pt>
                <c:pt idx="68">
                  <c:v>1400</c:v>
                </c:pt>
                <c:pt idx="69">
                  <c:v>600</c:v>
                </c:pt>
                <c:pt idx="70">
                  <c:v>600</c:v>
                </c:pt>
                <c:pt idx="71">
                  <c:v>400</c:v>
                </c:pt>
                <c:pt idx="72">
                  <c:v>600</c:v>
                </c:pt>
                <c:pt idx="73">
                  <c:v>600</c:v>
                </c:pt>
                <c:pt idx="74">
                  <c:v>800</c:v>
                </c:pt>
                <c:pt idx="75">
                  <c:v>600</c:v>
                </c:pt>
                <c:pt idx="76">
                  <c:v>800</c:v>
                </c:pt>
                <c:pt idx="77">
                  <c:v>800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1100</c:v>
                </c:pt>
                <c:pt idx="82">
                  <c:v>600</c:v>
                </c:pt>
                <c:pt idx="83">
                  <c:v>1100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2700</c:v>
                </c:pt>
                <c:pt idx="89">
                  <c:v>600</c:v>
                </c:pt>
                <c:pt idx="90">
                  <c:v>600</c:v>
                </c:pt>
                <c:pt idx="91">
                  <c:v>1000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800</c:v>
                </c:pt>
                <c:pt idx="97">
                  <c:v>900</c:v>
                </c:pt>
                <c:pt idx="98">
                  <c:v>1000</c:v>
                </c:pt>
                <c:pt idx="99">
                  <c:v>700</c:v>
                </c:pt>
                <c:pt idx="100">
                  <c:v>600</c:v>
                </c:pt>
                <c:pt idx="101">
                  <c:v>600</c:v>
                </c:pt>
                <c:pt idx="102">
                  <c:v>600</c:v>
                </c:pt>
                <c:pt idx="103">
                  <c:v>800</c:v>
                </c:pt>
                <c:pt idx="104">
                  <c:v>800</c:v>
                </c:pt>
                <c:pt idx="105">
                  <c:v>500</c:v>
                </c:pt>
                <c:pt idx="106">
                  <c:v>500</c:v>
                </c:pt>
                <c:pt idx="107">
                  <c:v>700</c:v>
                </c:pt>
                <c:pt idx="108">
                  <c:v>500</c:v>
                </c:pt>
                <c:pt idx="109">
                  <c:v>700</c:v>
                </c:pt>
                <c:pt idx="110">
                  <c:v>1200</c:v>
                </c:pt>
                <c:pt idx="111">
                  <c:v>500</c:v>
                </c:pt>
                <c:pt idx="112">
                  <c:v>600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800</c:v>
                </c:pt>
                <c:pt idx="118">
                  <c:v>600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900</c:v>
                </c:pt>
                <c:pt idx="123">
                  <c:v>800</c:v>
                </c:pt>
                <c:pt idx="124">
                  <c:v>800</c:v>
                </c:pt>
                <c:pt idx="125">
                  <c:v>600</c:v>
                </c:pt>
                <c:pt idx="126">
                  <c:v>600</c:v>
                </c:pt>
                <c:pt idx="127">
                  <c:v>700</c:v>
                </c:pt>
                <c:pt idx="128">
                  <c:v>700</c:v>
                </c:pt>
                <c:pt idx="129">
                  <c:v>700</c:v>
                </c:pt>
                <c:pt idx="130">
                  <c:v>700</c:v>
                </c:pt>
                <c:pt idx="131">
                  <c:v>600</c:v>
                </c:pt>
                <c:pt idx="132">
                  <c:v>700</c:v>
                </c:pt>
                <c:pt idx="133">
                  <c:v>700</c:v>
                </c:pt>
                <c:pt idx="134">
                  <c:v>700</c:v>
                </c:pt>
                <c:pt idx="135">
                  <c:v>600</c:v>
                </c:pt>
                <c:pt idx="136">
                  <c:v>700</c:v>
                </c:pt>
                <c:pt idx="137">
                  <c:v>800</c:v>
                </c:pt>
                <c:pt idx="138">
                  <c:v>700</c:v>
                </c:pt>
                <c:pt idx="139">
                  <c:v>600</c:v>
                </c:pt>
                <c:pt idx="140">
                  <c:v>700</c:v>
                </c:pt>
                <c:pt idx="141">
                  <c:v>700</c:v>
                </c:pt>
                <c:pt idx="142">
                  <c:v>700</c:v>
                </c:pt>
                <c:pt idx="143">
                  <c:v>500</c:v>
                </c:pt>
                <c:pt idx="144">
                  <c:v>800</c:v>
                </c:pt>
                <c:pt idx="145">
                  <c:v>600</c:v>
                </c:pt>
                <c:pt idx="146">
                  <c:v>700</c:v>
                </c:pt>
                <c:pt idx="147">
                  <c:v>900</c:v>
                </c:pt>
                <c:pt idx="148">
                  <c:v>900</c:v>
                </c:pt>
                <c:pt idx="149">
                  <c:v>700</c:v>
                </c:pt>
                <c:pt idx="150">
                  <c:v>600</c:v>
                </c:pt>
                <c:pt idx="151">
                  <c:v>700</c:v>
                </c:pt>
                <c:pt idx="152">
                  <c:v>600</c:v>
                </c:pt>
                <c:pt idx="153">
                  <c:v>700</c:v>
                </c:pt>
                <c:pt idx="154">
                  <c:v>700</c:v>
                </c:pt>
                <c:pt idx="155">
                  <c:v>700</c:v>
                </c:pt>
                <c:pt idx="156">
                  <c:v>600</c:v>
                </c:pt>
                <c:pt idx="157">
                  <c:v>700</c:v>
                </c:pt>
                <c:pt idx="158">
                  <c:v>600</c:v>
                </c:pt>
                <c:pt idx="159">
                  <c:v>600</c:v>
                </c:pt>
                <c:pt idx="160">
                  <c:v>600</c:v>
                </c:pt>
                <c:pt idx="161">
                  <c:v>600</c:v>
                </c:pt>
                <c:pt idx="162">
                  <c:v>700</c:v>
                </c:pt>
                <c:pt idx="163">
                  <c:v>700</c:v>
                </c:pt>
                <c:pt idx="164">
                  <c:v>700</c:v>
                </c:pt>
                <c:pt idx="165">
                  <c:v>700</c:v>
                </c:pt>
                <c:pt idx="166">
                  <c:v>500</c:v>
                </c:pt>
                <c:pt idx="167">
                  <c:v>800</c:v>
                </c:pt>
                <c:pt idx="168">
                  <c:v>700</c:v>
                </c:pt>
                <c:pt idx="169">
                  <c:v>700</c:v>
                </c:pt>
                <c:pt idx="170">
                  <c:v>650</c:v>
                </c:pt>
                <c:pt idx="171">
                  <c:v>650</c:v>
                </c:pt>
                <c:pt idx="172">
                  <c:v>650</c:v>
                </c:pt>
                <c:pt idx="173">
                  <c:v>650</c:v>
                </c:pt>
                <c:pt idx="174">
                  <c:v>700</c:v>
                </c:pt>
                <c:pt idx="175">
                  <c:v>700</c:v>
                </c:pt>
                <c:pt idx="176">
                  <c:v>700</c:v>
                </c:pt>
                <c:pt idx="177">
                  <c:v>700</c:v>
                </c:pt>
                <c:pt idx="178">
                  <c:v>500</c:v>
                </c:pt>
                <c:pt idx="179">
                  <c:v>600</c:v>
                </c:pt>
                <c:pt idx="180">
                  <c:v>700</c:v>
                </c:pt>
                <c:pt idx="181">
                  <c:v>750</c:v>
                </c:pt>
                <c:pt idx="182">
                  <c:v>850</c:v>
                </c:pt>
                <c:pt idx="183">
                  <c:v>850</c:v>
                </c:pt>
                <c:pt idx="184">
                  <c:v>700</c:v>
                </c:pt>
                <c:pt idx="185">
                  <c:v>700</c:v>
                </c:pt>
                <c:pt idx="186">
                  <c:v>800</c:v>
                </c:pt>
                <c:pt idx="187">
                  <c:v>750</c:v>
                </c:pt>
                <c:pt idx="188">
                  <c:v>800</c:v>
                </c:pt>
                <c:pt idx="189">
                  <c:v>700</c:v>
                </c:pt>
                <c:pt idx="190">
                  <c:v>400</c:v>
                </c:pt>
                <c:pt idx="191">
                  <c:v>500</c:v>
                </c:pt>
                <c:pt idx="192">
                  <c:v>700</c:v>
                </c:pt>
                <c:pt idx="193">
                  <c:v>900</c:v>
                </c:pt>
                <c:pt idx="194">
                  <c:v>900</c:v>
                </c:pt>
                <c:pt idx="195">
                  <c:v>1200</c:v>
                </c:pt>
                <c:pt idx="196">
                  <c:v>600</c:v>
                </c:pt>
                <c:pt idx="197">
                  <c:v>600</c:v>
                </c:pt>
                <c:pt idx="198">
                  <c:v>600</c:v>
                </c:pt>
                <c:pt idx="199">
                  <c:v>800</c:v>
                </c:pt>
                <c:pt idx="200">
                  <c:v>600</c:v>
                </c:pt>
                <c:pt idx="201">
                  <c:v>700</c:v>
                </c:pt>
                <c:pt idx="202">
                  <c:v>1200</c:v>
                </c:pt>
                <c:pt idx="203">
                  <c:v>1200</c:v>
                </c:pt>
                <c:pt idx="204">
                  <c:v>1400</c:v>
                </c:pt>
                <c:pt idx="205">
                  <c:v>1000</c:v>
                </c:pt>
                <c:pt idx="206">
                  <c:v>1000</c:v>
                </c:pt>
                <c:pt idx="207">
                  <c:v>1100</c:v>
                </c:pt>
                <c:pt idx="208">
                  <c:v>700</c:v>
                </c:pt>
                <c:pt idx="209">
                  <c:v>700</c:v>
                </c:pt>
                <c:pt idx="210">
                  <c:v>700</c:v>
                </c:pt>
                <c:pt idx="211">
                  <c:v>650</c:v>
                </c:pt>
                <c:pt idx="212">
                  <c:v>700</c:v>
                </c:pt>
                <c:pt idx="213">
                  <c:v>700</c:v>
                </c:pt>
                <c:pt idx="214">
                  <c:v>700</c:v>
                </c:pt>
                <c:pt idx="215">
                  <c:v>700</c:v>
                </c:pt>
                <c:pt idx="216">
                  <c:v>800</c:v>
                </c:pt>
                <c:pt idx="217">
                  <c:v>700</c:v>
                </c:pt>
                <c:pt idx="218">
                  <c:v>700</c:v>
                </c:pt>
                <c:pt idx="219">
                  <c:v>700</c:v>
                </c:pt>
                <c:pt idx="220">
                  <c:v>700</c:v>
                </c:pt>
                <c:pt idx="221">
                  <c:v>800</c:v>
                </c:pt>
                <c:pt idx="222">
                  <c:v>700</c:v>
                </c:pt>
                <c:pt idx="223">
                  <c:v>600</c:v>
                </c:pt>
                <c:pt idx="224">
                  <c:v>600</c:v>
                </c:pt>
                <c:pt idx="225">
                  <c:v>600</c:v>
                </c:pt>
                <c:pt idx="226">
                  <c:v>750</c:v>
                </c:pt>
                <c:pt idx="227">
                  <c:v>600</c:v>
                </c:pt>
                <c:pt idx="228">
                  <c:v>400</c:v>
                </c:pt>
                <c:pt idx="229">
                  <c:v>600</c:v>
                </c:pt>
                <c:pt idx="230">
                  <c:v>1000</c:v>
                </c:pt>
                <c:pt idx="231">
                  <c:v>900</c:v>
                </c:pt>
                <c:pt idx="232">
                  <c:v>800</c:v>
                </c:pt>
                <c:pt idx="233">
                  <c:v>800</c:v>
                </c:pt>
                <c:pt idx="234">
                  <c:v>800</c:v>
                </c:pt>
                <c:pt idx="235">
                  <c:v>800</c:v>
                </c:pt>
                <c:pt idx="236">
                  <c:v>800</c:v>
                </c:pt>
                <c:pt idx="237">
                  <c:v>600</c:v>
                </c:pt>
                <c:pt idx="238">
                  <c:v>1000</c:v>
                </c:pt>
                <c:pt idx="239">
                  <c:v>1500</c:v>
                </c:pt>
                <c:pt idx="240">
                  <c:v>700</c:v>
                </c:pt>
                <c:pt idx="241">
                  <c:v>700</c:v>
                </c:pt>
                <c:pt idx="242">
                  <c:v>1600</c:v>
                </c:pt>
                <c:pt idx="243">
                  <c:v>600</c:v>
                </c:pt>
                <c:pt idx="244">
                  <c:v>600</c:v>
                </c:pt>
                <c:pt idx="245">
                  <c:v>1600</c:v>
                </c:pt>
                <c:pt idx="246">
                  <c:v>1000</c:v>
                </c:pt>
                <c:pt idx="247">
                  <c:v>1400</c:v>
                </c:pt>
                <c:pt idx="248">
                  <c:v>1000</c:v>
                </c:pt>
                <c:pt idx="249">
                  <c:v>700</c:v>
                </c:pt>
                <c:pt idx="250">
                  <c:v>700</c:v>
                </c:pt>
                <c:pt idx="251">
                  <c:v>1300</c:v>
                </c:pt>
                <c:pt idx="252">
                  <c:v>1000</c:v>
                </c:pt>
                <c:pt idx="253">
                  <c:v>1000</c:v>
                </c:pt>
                <c:pt idx="254">
                  <c:v>1200</c:v>
                </c:pt>
                <c:pt idx="255">
                  <c:v>800</c:v>
                </c:pt>
                <c:pt idx="256">
                  <c:v>1200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800</c:v>
                </c:pt>
                <c:pt idx="261">
                  <c:v>700</c:v>
                </c:pt>
                <c:pt idx="262">
                  <c:v>900</c:v>
                </c:pt>
                <c:pt idx="263">
                  <c:v>700</c:v>
                </c:pt>
                <c:pt idx="264">
                  <c:v>700</c:v>
                </c:pt>
                <c:pt idx="265">
                  <c:v>700</c:v>
                </c:pt>
                <c:pt idx="266">
                  <c:v>700</c:v>
                </c:pt>
                <c:pt idx="267">
                  <c:v>700</c:v>
                </c:pt>
                <c:pt idx="268">
                  <c:v>700</c:v>
                </c:pt>
                <c:pt idx="269">
                  <c:v>700</c:v>
                </c:pt>
                <c:pt idx="270">
                  <c:v>700</c:v>
                </c:pt>
                <c:pt idx="271">
                  <c:v>700</c:v>
                </c:pt>
                <c:pt idx="272">
                  <c:v>1000</c:v>
                </c:pt>
                <c:pt idx="273">
                  <c:v>700</c:v>
                </c:pt>
                <c:pt idx="274">
                  <c:v>800</c:v>
                </c:pt>
                <c:pt idx="278">
                  <c:v>600</c:v>
                </c:pt>
                <c:pt idx="279">
                  <c:v>700</c:v>
                </c:pt>
                <c:pt idx="280">
                  <c:v>700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700</c:v>
                </c:pt>
                <c:pt idx="286">
                  <c:v>700</c:v>
                </c:pt>
                <c:pt idx="287">
                  <c:v>1000</c:v>
                </c:pt>
                <c:pt idx="288">
                  <c:v>600</c:v>
                </c:pt>
                <c:pt idx="289">
                  <c:v>900</c:v>
                </c:pt>
                <c:pt idx="290">
                  <c:v>600</c:v>
                </c:pt>
                <c:pt idx="291">
                  <c:v>600</c:v>
                </c:pt>
                <c:pt idx="292">
                  <c:v>800</c:v>
                </c:pt>
                <c:pt idx="293">
                  <c:v>600</c:v>
                </c:pt>
                <c:pt idx="294">
                  <c:v>600</c:v>
                </c:pt>
                <c:pt idx="295">
                  <c:v>600</c:v>
                </c:pt>
                <c:pt idx="296">
                  <c:v>600</c:v>
                </c:pt>
                <c:pt idx="297">
                  <c:v>600</c:v>
                </c:pt>
                <c:pt idx="298">
                  <c:v>800</c:v>
                </c:pt>
                <c:pt idx="299">
                  <c:v>900</c:v>
                </c:pt>
                <c:pt idx="300">
                  <c:v>600</c:v>
                </c:pt>
                <c:pt idx="301">
                  <c:v>600</c:v>
                </c:pt>
                <c:pt idx="302">
                  <c:v>1200</c:v>
                </c:pt>
                <c:pt idx="303">
                  <c:v>800</c:v>
                </c:pt>
                <c:pt idx="304">
                  <c:v>600</c:v>
                </c:pt>
                <c:pt idx="305">
                  <c:v>800</c:v>
                </c:pt>
                <c:pt idx="306">
                  <c:v>600</c:v>
                </c:pt>
                <c:pt idx="307">
                  <c:v>800</c:v>
                </c:pt>
                <c:pt idx="308">
                  <c:v>1200</c:v>
                </c:pt>
                <c:pt idx="309">
                  <c:v>700</c:v>
                </c:pt>
                <c:pt idx="310">
                  <c:v>700</c:v>
                </c:pt>
                <c:pt idx="311">
                  <c:v>1300</c:v>
                </c:pt>
                <c:pt idx="312">
                  <c:v>700</c:v>
                </c:pt>
                <c:pt idx="313">
                  <c:v>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81984"/>
        <c:axId val="106291968"/>
      </c:scatterChart>
      <c:valAx>
        <c:axId val="106281984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291968"/>
        <c:crosses val="autoZero"/>
        <c:crossBetween val="midCat"/>
        <c:majorUnit val="12"/>
      </c:valAx>
      <c:valAx>
        <c:axId val="10629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81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 corr. tot. - toroidal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Results!$AQ$1</c:f>
              <c:strCache>
                <c:ptCount val="1"/>
                <c:pt idx="0">
                  <c:v>Mo corr.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Results!$AH$2:$AH$315</c:f>
              <c:numCache>
                <c:formatCode>General</c:formatCode>
                <c:ptCount val="314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Results!$AQ$2:$AQ$315</c:f>
              <c:numCache>
                <c:formatCode>General</c:formatCode>
                <c:ptCount val="314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0.14180000000000001</c:v>
                </c:pt>
                <c:pt idx="14">
                  <c:v>0.10920000000000001</c:v>
                </c:pt>
                <c:pt idx="17">
                  <c:v>0.38339999999999996</c:v>
                </c:pt>
                <c:pt idx="20">
                  <c:v>0.22609999999999997</c:v>
                </c:pt>
                <c:pt idx="23">
                  <c:v>0.26600000000000001</c:v>
                </c:pt>
                <c:pt idx="28">
                  <c:v>7.1010000000000004E-2</c:v>
                </c:pt>
                <c:pt idx="31">
                  <c:v>0.12384000000000001</c:v>
                </c:pt>
                <c:pt idx="34">
                  <c:v>0.20638000000000001</c:v>
                </c:pt>
                <c:pt idx="37">
                  <c:v>0.17953333333333338</c:v>
                </c:pt>
                <c:pt idx="43">
                  <c:v>9.3529999999999974E-2</c:v>
                </c:pt>
                <c:pt idx="46">
                  <c:v>0.11872000000000002</c:v>
                </c:pt>
                <c:pt idx="49">
                  <c:v>3.6940000000000021E-2</c:v>
                </c:pt>
                <c:pt idx="52">
                  <c:v>6.6720000000000029E-2</c:v>
                </c:pt>
                <c:pt idx="55">
                  <c:v>0.14032000000000003</c:v>
                </c:pt>
                <c:pt idx="58">
                  <c:v>4.4430000000000011E-2</c:v>
                </c:pt>
                <c:pt idx="61">
                  <c:v>7.2819999999999996E-2</c:v>
                </c:pt>
                <c:pt idx="64">
                  <c:v>-1.3399999999999999E-2</c:v>
                </c:pt>
                <c:pt idx="67">
                  <c:v>-8.4300000000000014E-2</c:v>
                </c:pt>
                <c:pt idx="70">
                  <c:v>-5.8799999999999963E-3</c:v>
                </c:pt>
                <c:pt idx="73">
                  <c:v>3.2119999999999996E-2</c:v>
                </c:pt>
                <c:pt idx="76">
                  <c:v>9.2880000000000018E-2</c:v>
                </c:pt>
                <c:pt idx="79">
                  <c:v>-1.3359999999999962E-2</c:v>
                </c:pt>
                <c:pt idx="82">
                  <c:v>5.6615000000000047E-2</c:v>
                </c:pt>
                <c:pt idx="85">
                  <c:v>-2.1099999999999997E-2</c:v>
                </c:pt>
                <c:pt idx="88">
                  <c:v>-0.17838000000000001</c:v>
                </c:pt>
                <c:pt idx="91">
                  <c:v>9.4833333333333367E-2</c:v>
                </c:pt>
                <c:pt idx="97">
                  <c:v>0.15699000000000005</c:v>
                </c:pt>
                <c:pt idx="100">
                  <c:v>6.8966666666666676E-2</c:v>
                </c:pt>
                <c:pt idx="106">
                  <c:v>0.17113</c:v>
                </c:pt>
                <c:pt idx="109">
                  <c:v>0.19755</c:v>
                </c:pt>
                <c:pt idx="112">
                  <c:v>0.18770999999999996</c:v>
                </c:pt>
                <c:pt idx="119">
                  <c:v>0.25142000000000003</c:v>
                </c:pt>
                <c:pt idx="122">
                  <c:v>0.69994000000000001</c:v>
                </c:pt>
                <c:pt idx="125">
                  <c:v>0.65443333333333342</c:v>
                </c:pt>
                <c:pt idx="131">
                  <c:v>0.21660499999999999</c:v>
                </c:pt>
                <c:pt idx="134">
                  <c:v>0.96748000000000001</c:v>
                </c:pt>
                <c:pt idx="137">
                  <c:v>0.81552000000000002</c:v>
                </c:pt>
                <c:pt idx="140">
                  <c:v>0.71883000000000008</c:v>
                </c:pt>
                <c:pt idx="143">
                  <c:v>0.37896000000000002</c:v>
                </c:pt>
                <c:pt idx="146">
                  <c:v>0.27823500000000001</c:v>
                </c:pt>
                <c:pt idx="149">
                  <c:v>0.27057500000000001</c:v>
                </c:pt>
                <c:pt idx="152">
                  <c:v>0.16580999999999999</c:v>
                </c:pt>
                <c:pt idx="155">
                  <c:v>0.12450500000000002</c:v>
                </c:pt>
                <c:pt idx="158">
                  <c:v>9.4740000000000019E-2</c:v>
                </c:pt>
                <c:pt idx="161">
                  <c:v>0.22561</c:v>
                </c:pt>
                <c:pt idx="164">
                  <c:v>0.17096</c:v>
                </c:pt>
                <c:pt idx="167">
                  <c:v>0.17995</c:v>
                </c:pt>
                <c:pt idx="170">
                  <c:v>0.17710000000000001</c:v>
                </c:pt>
                <c:pt idx="171">
                  <c:v>0.9049100000000001</c:v>
                </c:pt>
                <c:pt idx="174">
                  <c:v>0.12854000000000002</c:v>
                </c:pt>
                <c:pt idx="177">
                  <c:v>0.14655499999999999</c:v>
                </c:pt>
                <c:pt idx="180">
                  <c:v>0.23047500000000004</c:v>
                </c:pt>
                <c:pt idx="184">
                  <c:v>9.4716666666666671E-2</c:v>
                </c:pt>
                <c:pt idx="190">
                  <c:v>5.886000000000001E-2</c:v>
                </c:pt>
                <c:pt idx="193">
                  <c:v>0.12367</c:v>
                </c:pt>
                <c:pt idx="196">
                  <c:v>8.199999999999963E-4</c:v>
                </c:pt>
                <c:pt idx="200">
                  <c:v>6.3390000000000016E-2</c:v>
                </c:pt>
                <c:pt idx="203">
                  <c:v>3.1009999999999999E-2</c:v>
                </c:pt>
                <c:pt idx="206">
                  <c:v>2.2145000000000005E-2</c:v>
                </c:pt>
                <c:pt idx="212">
                  <c:v>-3.0499999999999196E-4</c:v>
                </c:pt>
                <c:pt idx="215">
                  <c:v>3.7899999999999978E-3</c:v>
                </c:pt>
                <c:pt idx="218">
                  <c:v>2.6783750000000009E-2</c:v>
                </c:pt>
                <c:pt idx="224">
                  <c:v>3.6895000000000004E-2</c:v>
                </c:pt>
                <c:pt idx="227">
                  <c:v>2.0172500000000003E-2</c:v>
                </c:pt>
                <c:pt idx="233">
                  <c:v>5.756E-2</c:v>
                </c:pt>
                <c:pt idx="236">
                  <c:v>4.6349999999999995E-2</c:v>
                </c:pt>
                <c:pt idx="239">
                  <c:v>0.11554000000000002</c:v>
                </c:pt>
                <c:pt idx="242">
                  <c:v>0.13836000000000001</c:v>
                </c:pt>
                <c:pt idx="245">
                  <c:v>-9.1870000000000007E-2</c:v>
                </c:pt>
                <c:pt idx="248">
                  <c:v>-8.0399999999999985E-3</c:v>
                </c:pt>
                <c:pt idx="251">
                  <c:v>9.5980000000000024E-2</c:v>
                </c:pt>
                <c:pt idx="254">
                  <c:v>0.11185</c:v>
                </c:pt>
                <c:pt idx="257">
                  <c:v>0.10745</c:v>
                </c:pt>
                <c:pt idx="260">
                  <c:v>0.11307</c:v>
                </c:pt>
                <c:pt idx="263">
                  <c:v>0.10737000000000001</c:v>
                </c:pt>
                <c:pt idx="266">
                  <c:v>-7.6850000000000043E-3</c:v>
                </c:pt>
                <c:pt idx="269">
                  <c:v>-7.209999999999989E-3</c:v>
                </c:pt>
                <c:pt idx="272">
                  <c:v>0.41553499999999993</c:v>
                </c:pt>
                <c:pt idx="278">
                  <c:v>3.7139999999999999E-2</c:v>
                </c:pt>
                <c:pt idx="281">
                  <c:v>2.9210526315789492E-2</c:v>
                </c:pt>
                <c:pt idx="284">
                  <c:v>0.55068421052631578</c:v>
                </c:pt>
                <c:pt idx="287">
                  <c:v>1.8228200000000001</c:v>
                </c:pt>
                <c:pt idx="290">
                  <c:v>0.58333000000000002</c:v>
                </c:pt>
                <c:pt idx="293">
                  <c:v>0.33520000000000005</c:v>
                </c:pt>
                <c:pt idx="296">
                  <c:v>0.29086000000000001</c:v>
                </c:pt>
                <c:pt idx="299">
                  <c:v>0.31790499999999999</c:v>
                </c:pt>
                <c:pt idx="302">
                  <c:v>0.56303999999999998</c:v>
                </c:pt>
                <c:pt idx="305">
                  <c:v>0.37861000000000006</c:v>
                </c:pt>
                <c:pt idx="308">
                  <c:v>1.1746000000000001</c:v>
                </c:pt>
                <c:pt idx="311">
                  <c:v>2.413395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4160"/>
        <c:axId val="106845696"/>
      </c:scatterChart>
      <c:valAx>
        <c:axId val="106844160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845696"/>
        <c:crosses val="autoZero"/>
        <c:crossBetween val="midCat"/>
        <c:majorUnit val="45"/>
      </c:valAx>
      <c:valAx>
        <c:axId val="1068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44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 corr. tot. - poloidal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Results!$AQ$1</c:f>
              <c:strCache>
                <c:ptCount val="1"/>
                <c:pt idx="0">
                  <c:v>Mo corr. tot.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xVal>
            <c:numRef>
              <c:f>Results!$AI$2:$AI$315</c:f>
              <c:numCache>
                <c:formatCode>General</c:formatCode>
                <c:ptCount val="314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Results!$AQ$2:$AQ$315</c:f>
              <c:numCache>
                <c:formatCode>General</c:formatCode>
                <c:ptCount val="314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0.14180000000000001</c:v>
                </c:pt>
                <c:pt idx="14">
                  <c:v>0.10920000000000001</c:v>
                </c:pt>
                <c:pt idx="17">
                  <c:v>0.38339999999999996</c:v>
                </c:pt>
                <c:pt idx="20">
                  <c:v>0.22609999999999997</c:v>
                </c:pt>
                <c:pt idx="23">
                  <c:v>0.26600000000000001</c:v>
                </c:pt>
                <c:pt idx="28">
                  <c:v>7.1010000000000004E-2</c:v>
                </c:pt>
                <c:pt idx="31">
                  <c:v>0.12384000000000001</c:v>
                </c:pt>
                <c:pt idx="34">
                  <c:v>0.20638000000000001</c:v>
                </c:pt>
                <c:pt idx="37">
                  <c:v>0.17953333333333338</c:v>
                </c:pt>
                <c:pt idx="43">
                  <c:v>9.3529999999999974E-2</c:v>
                </c:pt>
                <c:pt idx="46">
                  <c:v>0.11872000000000002</c:v>
                </c:pt>
                <c:pt idx="49">
                  <c:v>3.6940000000000021E-2</c:v>
                </c:pt>
                <c:pt idx="52">
                  <c:v>6.6720000000000029E-2</c:v>
                </c:pt>
                <c:pt idx="55">
                  <c:v>0.14032000000000003</c:v>
                </c:pt>
                <c:pt idx="58">
                  <c:v>4.4430000000000011E-2</c:v>
                </c:pt>
                <c:pt idx="61">
                  <c:v>7.2819999999999996E-2</c:v>
                </c:pt>
                <c:pt idx="64">
                  <c:v>-1.3399999999999999E-2</c:v>
                </c:pt>
                <c:pt idx="67">
                  <c:v>-8.4300000000000014E-2</c:v>
                </c:pt>
                <c:pt idx="70">
                  <c:v>-5.8799999999999963E-3</c:v>
                </c:pt>
                <c:pt idx="73">
                  <c:v>3.2119999999999996E-2</c:v>
                </c:pt>
                <c:pt idx="76">
                  <c:v>9.2880000000000018E-2</c:v>
                </c:pt>
                <c:pt idx="79">
                  <c:v>-1.3359999999999962E-2</c:v>
                </c:pt>
                <c:pt idx="82">
                  <c:v>5.6615000000000047E-2</c:v>
                </c:pt>
                <c:pt idx="85">
                  <c:v>-2.1099999999999997E-2</c:v>
                </c:pt>
                <c:pt idx="88">
                  <c:v>-0.17838000000000001</c:v>
                </c:pt>
                <c:pt idx="91">
                  <c:v>9.4833333333333367E-2</c:v>
                </c:pt>
                <c:pt idx="97">
                  <c:v>0.15699000000000005</c:v>
                </c:pt>
                <c:pt idx="100">
                  <c:v>6.8966666666666676E-2</c:v>
                </c:pt>
                <c:pt idx="106">
                  <c:v>0.17113</c:v>
                </c:pt>
                <c:pt idx="109">
                  <c:v>0.19755</c:v>
                </c:pt>
                <c:pt idx="112">
                  <c:v>0.18770999999999996</c:v>
                </c:pt>
                <c:pt idx="119">
                  <c:v>0.25142000000000003</c:v>
                </c:pt>
                <c:pt idx="122">
                  <c:v>0.69994000000000001</c:v>
                </c:pt>
                <c:pt idx="125">
                  <c:v>0.65443333333333342</c:v>
                </c:pt>
                <c:pt idx="131">
                  <c:v>0.21660499999999999</c:v>
                </c:pt>
                <c:pt idx="134">
                  <c:v>0.96748000000000001</c:v>
                </c:pt>
                <c:pt idx="137">
                  <c:v>0.81552000000000002</c:v>
                </c:pt>
                <c:pt idx="140">
                  <c:v>0.71883000000000008</c:v>
                </c:pt>
                <c:pt idx="143">
                  <c:v>0.37896000000000002</c:v>
                </c:pt>
                <c:pt idx="146">
                  <c:v>0.27823500000000001</c:v>
                </c:pt>
                <c:pt idx="149">
                  <c:v>0.27057500000000001</c:v>
                </c:pt>
                <c:pt idx="152">
                  <c:v>0.16580999999999999</c:v>
                </c:pt>
                <c:pt idx="155">
                  <c:v>0.12450500000000002</c:v>
                </c:pt>
                <c:pt idx="158">
                  <c:v>9.4740000000000019E-2</c:v>
                </c:pt>
                <c:pt idx="161">
                  <c:v>0.22561</c:v>
                </c:pt>
                <c:pt idx="164">
                  <c:v>0.17096</c:v>
                </c:pt>
                <c:pt idx="167">
                  <c:v>0.17995</c:v>
                </c:pt>
                <c:pt idx="170">
                  <c:v>0.17710000000000001</c:v>
                </c:pt>
                <c:pt idx="171">
                  <c:v>0.9049100000000001</c:v>
                </c:pt>
                <c:pt idx="174">
                  <c:v>0.12854000000000002</c:v>
                </c:pt>
                <c:pt idx="177">
                  <c:v>0.14655499999999999</c:v>
                </c:pt>
                <c:pt idx="180">
                  <c:v>0.23047500000000004</c:v>
                </c:pt>
                <c:pt idx="184">
                  <c:v>9.4716666666666671E-2</c:v>
                </c:pt>
                <c:pt idx="190">
                  <c:v>5.886000000000001E-2</c:v>
                </c:pt>
                <c:pt idx="193">
                  <c:v>0.12367</c:v>
                </c:pt>
                <c:pt idx="196">
                  <c:v>8.199999999999963E-4</c:v>
                </c:pt>
                <c:pt idx="200">
                  <c:v>6.3390000000000016E-2</c:v>
                </c:pt>
                <c:pt idx="203">
                  <c:v>3.1009999999999999E-2</c:v>
                </c:pt>
                <c:pt idx="206">
                  <c:v>2.2145000000000005E-2</c:v>
                </c:pt>
                <c:pt idx="212">
                  <c:v>-3.0499999999999196E-4</c:v>
                </c:pt>
                <c:pt idx="215">
                  <c:v>3.7899999999999978E-3</c:v>
                </c:pt>
                <c:pt idx="218">
                  <c:v>2.6783750000000009E-2</c:v>
                </c:pt>
                <c:pt idx="224">
                  <c:v>3.6895000000000004E-2</c:v>
                </c:pt>
                <c:pt idx="227">
                  <c:v>2.0172500000000003E-2</c:v>
                </c:pt>
                <c:pt idx="233">
                  <c:v>5.756E-2</c:v>
                </c:pt>
                <c:pt idx="236">
                  <c:v>4.6349999999999995E-2</c:v>
                </c:pt>
                <c:pt idx="239">
                  <c:v>0.11554000000000002</c:v>
                </c:pt>
                <c:pt idx="242">
                  <c:v>0.13836000000000001</c:v>
                </c:pt>
                <c:pt idx="245">
                  <c:v>-9.1870000000000007E-2</c:v>
                </c:pt>
                <c:pt idx="248">
                  <c:v>-8.0399999999999985E-3</c:v>
                </c:pt>
                <c:pt idx="251">
                  <c:v>9.5980000000000024E-2</c:v>
                </c:pt>
                <c:pt idx="254">
                  <c:v>0.11185</c:v>
                </c:pt>
                <c:pt idx="257">
                  <c:v>0.10745</c:v>
                </c:pt>
                <c:pt idx="260">
                  <c:v>0.11307</c:v>
                </c:pt>
                <c:pt idx="263">
                  <c:v>0.10737000000000001</c:v>
                </c:pt>
                <c:pt idx="266">
                  <c:v>-7.6850000000000043E-3</c:v>
                </c:pt>
                <c:pt idx="269">
                  <c:v>-7.209999999999989E-3</c:v>
                </c:pt>
                <c:pt idx="272">
                  <c:v>0.41553499999999993</c:v>
                </c:pt>
                <c:pt idx="278">
                  <c:v>3.7139999999999999E-2</c:v>
                </c:pt>
                <c:pt idx="281">
                  <c:v>2.9210526315789492E-2</c:v>
                </c:pt>
                <c:pt idx="284">
                  <c:v>0.55068421052631578</c:v>
                </c:pt>
                <c:pt idx="287">
                  <c:v>1.8228200000000001</c:v>
                </c:pt>
                <c:pt idx="290">
                  <c:v>0.58333000000000002</c:v>
                </c:pt>
                <c:pt idx="293">
                  <c:v>0.33520000000000005</c:v>
                </c:pt>
                <c:pt idx="296">
                  <c:v>0.29086000000000001</c:v>
                </c:pt>
                <c:pt idx="299">
                  <c:v>0.31790499999999999</c:v>
                </c:pt>
                <c:pt idx="302">
                  <c:v>0.56303999999999998</c:v>
                </c:pt>
                <c:pt idx="305">
                  <c:v>0.37861000000000006</c:v>
                </c:pt>
                <c:pt idx="308">
                  <c:v>1.1746000000000001</c:v>
                </c:pt>
                <c:pt idx="311">
                  <c:v>2.413395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70656"/>
        <c:axId val="106872192"/>
      </c:scatterChart>
      <c:valAx>
        <c:axId val="106870656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872192"/>
        <c:crosses val="autoZero"/>
        <c:crossBetween val="midCat"/>
        <c:majorUnit val="12"/>
      </c:valAx>
      <c:valAx>
        <c:axId val="1068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7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 corr. tot. - toroidal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Results!$AS$1</c:f>
              <c:strCache>
                <c:ptCount val="1"/>
                <c:pt idx="0">
                  <c:v>W corr.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Results!$AH$2:$AH$315</c:f>
              <c:numCache>
                <c:formatCode>General</c:formatCode>
                <c:ptCount val="314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Results!$AS$2:$AS$315</c:f>
              <c:numCache>
                <c:formatCode>General</c:formatCode>
                <c:ptCount val="314"/>
                <c:pt idx="0">
                  <c:v>2.3399999999999997E-2</c:v>
                </c:pt>
                <c:pt idx="3">
                  <c:v>9.5449999999999993E-2</c:v>
                </c:pt>
                <c:pt idx="6">
                  <c:v>0.15035000000000001</c:v>
                </c:pt>
                <c:pt idx="9">
                  <c:v>1.9300000000000001E-2</c:v>
                </c:pt>
                <c:pt idx="14">
                  <c:v>4.9299999999999997E-2</c:v>
                </c:pt>
                <c:pt idx="17">
                  <c:v>2.495E-2</c:v>
                </c:pt>
                <c:pt idx="20">
                  <c:v>-5.2350000000000001E-2</c:v>
                </c:pt>
                <c:pt idx="23">
                  <c:v>-3.5399999999999994E-2</c:v>
                </c:pt>
                <c:pt idx="28">
                  <c:v>2.9760000000000012E-2</c:v>
                </c:pt>
                <c:pt idx="31">
                  <c:v>4.6300000000000001E-2</c:v>
                </c:pt>
                <c:pt idx="34">
                  <c:v>7.5559999999999988E-2</c:v>
                </c:pt>
                <c:pt idx="37">
                  <c:v>2.908333333333334E-2</c:v>
                </c:pt>
                <c:pt idx="43">
                  <c:v>1.805E-2</c:v>
                </c:pt>
                <c:pt idx="46">
                  <c:v>-1.749999999999965E-4</c:v>
                </c:pt>
                <c:pt idx="49">
                  <c:v>4.4240000000000002E-2</c:v>
                </c:pt>
                <c:pt idx="52">
                  <c:v>5.3730000000000014E-2</c:v>
                </c:pt>
                <c:pt idx="55">
                  <c:v>5.1859999999999996E-2</c:v>
                </c:pt>
                <c:pt idx="58">
                  <c:v>7.2980000000000003E-2</c:v>
                </c:pt>
                <c:pt idx="61">
                  <c:v>6.5430000000000002E-2</c:v>
                </c:pt>
                <c:pt idx="64">
                  <c:v>2.4000000000000024E-3</c:v>
                </c:pt>
                <c:pt idx="67">
                  <c:v>6.4510000000000012E-2</c:v>
                </c:pt>
                <c:pt idx="70">
                  <c:v>9.1799999999999989E-3</c:v>
                </c:pt>
                <c:pt idx="73">
                  <c:v>2.9979999999999993E-2</c:v>
                </c:pt>
                <c:pt idx="76">
                  <c:v>5.2979999999999999E-2</c:v>
                </c:pt>
                <c:pt idx="79">
                  <c:v>-6.5599999999999973E-3</c:v>
                </c:pt>
                <c:pt idx="82">
                  <c:v>2.1950000000000025E-3</c:v>
                </c:pt>
                <c:pt idx="85">
                  <c:v>1.1400000000000006E-2</c:v>
                </c:pt>
                <c:pt idx="88">
                  <c:v>5.3559999999999997E-2</c:v>
                </c:pt>
                <c:pt idx="91">
                  <c:v>1.776666666666667E-2</c:v>
                </c:pt>
                <c:pt idx="97">
                  <c:v>4.4130000000000003E-2</c:v>
                </c:pt>
                <c:pt idx="100">
                  <c:v>1.6100000000000003E-2</c:v>
                </c:pt>
                <c:pt idx="106">
                  <c:v>2.904E-2</c:v>
                </c:pt>
                <c:pt idx="109">
                  <c:v>0.13375000000000001</c:v>
                </c:pt>
                <c:pt idx="112">
                  <c:v>4.4509999999999994E-2</c:v>
                </c:pt>
                <c:pt idx="119">
                  <c:v>2.019E-2</c:v>
                </c:pt>
                <c:pt idx="122">
                  <c:v>2.8820000000000005E-2</c:v>
                </c:pt>
                <c:pt idx="125">
                  <c:v>4.1866666666666677E-2</c:v>
                </c:pt>
                <c:pt idx="131">
                  <c:v>1.0645E-2</c:v>
                </c:pt>
                <c:pt idx="134">
                  <c:v>3.2099999999999997E-2</c:v>
                </c:pt>
                <c:pt idx="137">
                  <c:v>4.4219999999999995E-2</c:v>
                </c:pt>
                <c:pt idx="140">
                  <c:v>2.5970000000000003E-2</c:v>
                </c:pt>
                <c:pt idx="143">
                  <c:v>4.0419999999999998E-2</c:v>
                </c:pt>
                <c:pt idx="146">
                  <c:v>0.13328500000000001</c:v>
                </c:pt>
                <c:pt idx="149">
                  <c:v>4.0374999999999994E-2</c:v>
                </c:pt>
                <c:pt idx="152">
                  <c:v>8.1650000000000021E-3</c:v>
                </c:pt>
                <c:pt idx="155">
                  <c:v>1.1939999999999997E-2</c:v>
                </c:pt>
                <c:pt idx="158">
                  <c:v>2.5800000000000033E-3</c:v>
                </c:pt>
                <c:pt idx="161">
                  <c:v>1.9969999999999998E-2</c:v>
                </c:pt>
                <c:pt idx="164">
                  <c:v>2.4029999999999999E-2</c:v>
                </c:pt>
                <c:pt idx="167">
                  <c:v>2.1530000000000004E-2</c:v>
                </c:pt>
                <c:pt idx="170">
                  <c:v>2.2600000000000002E-2</c:v>
                </c:pt>
                <c:pt idx="171">
                  <c:v>7.0570000000000008E-2</c:v>
                </c:pt>
                <c:pt idx="174">
                  <c:v>2.5150000000000002E-2</c:v>
                </c:pt>
                <c:pt idx="177">
                  <c:v>3.1655000000000003E-2</c:v>
                </c:pt>
                <c:pt idx="180">
                  <c:v>2.0674999999999999E-2</c:v>
                </c:pt>
                <c:pt idx="184">
                  <c:v>2.3908333333333337E-2</c:v>
                </c:pt>
                <c:pt idx="190">
                  <c:v>2.5849999999999998E-2</c:v>
                </c:pt>
                <c:pt idx="193">
                  <c:v>0.05</c:v>
                </c:pt>
                <c:pt idx="196">
                  <c:v>2.794E-2</c:v>
                </c:pt>
                <c:pt idx="200">
                  <c:v>9.130000000000001E-3</c:v>
                </c:pt>
                <c:pt idx="203">
                  <c:v>5.0970000000000001E-2</c:v>
                </c:pt>
                <c:pt idx="206">
                  <c:v>2.7552500000000001E-2</c:v>
                </c:pt>
                <c:pt idx="212">
                  <c:v>1.8384999999999999E-2</c:v>
                </c:pt>
                <c:pt idx="215">
                  <c:v>4.3949999999999996E-2</c:v>
                </c:pt>
                <c:pt idx="218">
                  <c:v>2.5086250000000004E-2</c:v>
                </c:pt>
                <c:pt idx="224">
                  <c:v>1.7490000000000002E-2</c:v>
                </c:pt>
                <c:pt idx="227">
                  <c:v>3.5776250000000002E-2</c:v>
                </c:pt>
                <c:pt idx="233">
                  <c:v>0.16019000000000003</c:v>
                </c:pt>
                <c:pt idx="236">
                  <c:v>0.10046000000000001</c:v>
                </c:pt>
                <c:pt idx="239">
                  <c:v>0.26187000000000005</c:v>
                </c:pt>
                <c:pt idx="242">
                  <c:v>5.1239999999999994E-2</c:v>
                </c:pt>
                <c:pt idx="245">
                  <c:v>7.5310000000000002E-2</c:v>
                </c:pt>
                <c:pt idx="248">
                  <c:v>0.24371000000000001</c:v>
                </c:pt>
                <c:pt idx="251">
                  <c:v>0.18542000000000003</c:v>
                </c:pt>
                <c:pt idx="254">
                  <c:v>0.19048000000000001</c:v>
                </c:pt>
                <c:pt idx="257">
                  <c:v>6.2199999999999991E-2</c:v>
                </c:pt>
                <c:pt idx="260">
                  <c:v>3.1959999999999995E-2</c:v>
                </c:pt>
                <c:pt idx="263">
                  <c:v>4.7460000000000002E-2</c:v>
                </c:pt>
                <c:pt idx="266">
                  <c:v>4.5159999999999999E-2</c:v>
                </c:pt>
                <c:pt idx="269">
                  <c:v>3.8400000000000049E-3</c:v>
                </c:pt>
                <c:pt idx="272">
                  <c:v>5.2465000000000019E-2</c:v>
                </c:pt>
                <c:pt idx="278">
                  <c:v>2.1890000000000007E-2</c:v>
                </c:pt>
                <c:pt idx="281">
                  <c:v>9.5789473684210532E-3</c:v>
                </c:pt>
                <c:pt idx="284">
                  <c:v>4.4089473684210533E-2</c:v>
                </c:pt>
                <c:pt idx="287">
                  <c:v>0.21999000000000002</c:v>
                </c:pt>
                <c:pt idx="290">
                  <c:v>-1.9499999999999995E-3</c:v>
                </c:pt>
                <c:pt idx="293">
                  <c:v>4.8079999999999998E-2</c:v>
                </c:pt>
                <c:pt idx="296">
                  <c:v>8.9699999999999953E-3</c:v>
                </c:pt>
                <c:pt idx="299">
                  <c:v>2.607000000000001E-2</c:v>
                </c:pt>
                <c:pt idx="302">
                  <c:v>3.0940000000000002E-2</c:v>
                </c:pt>
                <c:pt idx="305">
                  <c:v>3.202E-2</c:v>
                </c:pt>
                <c:pt idx="308">
                  <c:v>3.8539999999999998E-2</c:v>
                </c:pt>
                <c:pt idx="311">
                  <c:v>0.10457999999999998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88192"/>
        <c:axId val="106648320"/>
      </c:scatterChart>
      <c:valAx>
        <c:axId val="106888192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648320"/>
        <c:crosses val="autoZero"/>
        <c:crossBetween val="midCat"/>
        <c:majorUnit val="45"/>
      </c:valAx>
      <c:valAx>
        <c:axId val="10664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88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 corr. tot. - poloidal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Results!$AS$1</c:f>
              <c:strCache>
                <c:ptCount val="1"/>
                <c:pt idx="0">
                  <c:v>W corr.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Results!$AI$2:$AI$315</c:f>
              <c:numCache>
                <c:formatCode>General</c:formatCode>
                <c:ptCount val="314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Results!$AS$2:$AS$315</c:f>
              <c:numCache>
                <c:formatCode>General</c:formatCode>
                <c:ptCount val="314"/>
                <c:pt idx="0">
                  <c:v>2.3399999999999997E-2</c:v>
                </c:pt>
                <c:pt idx="3">
                  <c:v>9.5449999999999993E-2</c:v>
                </c:pt>
                <c:pt idx="6">
                  <c:v>0.15035000000000001</c:v>
                </c:pt>
                <c:pt idx="9">
                  <c:v>1.9300000000000001E-2</c:v>
                </c:pt>
                <c:pt idx="14">
                  <c:v>4.9299999999999997E-2</c:v>
                </c:pt>
                <c:pt idx="17">
                  <c:v>2.495E-2</c:v>
                </c:pt>
                <c:pt idx="20">
                  <c:v>-5.2350000000000001E-2</c:v>
                </c:pt>
                <c:pt idx="23">
                  <c:v>-3.5399999999999994E-2</c:v>
                </c:pt>
                <c:pt idx="28">
                  <c:v>2.9760000000000012E-2</c:v>
                </c:pt>
                <c:pt idx="31">
                  <c:v>4.6300000000000001E-2</c:v>
                </c:pt>
                <c:pt idx="34">
                  <c:v>7.5559999999999988E-2</c:v>
                </c:pt>
                <c:pt idx="37">
                  <c:v>2.908333333333334E-2</c:v>
                </c:pt>
                <c:pt idx="43">
                  <c:v>1.805E-2</c:v>
                </c:pt>
                <c:pt idx="46">
                  <c:v>-1.749999999999965E-4</c:v>
                </c:pt>
                <c:pt idx="49">
                  <c:v>4.4240000000000002E-2</c:v>
                </c:pt>
                <c:pt idx="52">
                  <c:v>5.3730000000000014E-2</c:v>
                </c:pt>
                <c:pt idx="55">
                  <c:v>5.1859999999999996E-2</c:v>
                </c:pt>
                <c:pt idx="58">
                  <c:v>7.2980000000000003E-2</c:v>
                </c:pt>
                <c:pt idx="61">
                  <c:v>6.5430000000000002E-2</c:v>
                </c:pt>
                <c:pt idx="64">
                  <c:v>2.4000000000000024E-3</c:v>
                </c:pt>
                <c:pt idx="67">
                  <c:v>6.4510000000000012E-2</c:v>
                </c:pt>
                <c:pt idx="70">
                  <c:v>9.1799999999999989E-3</c:v>
                </c:pt>
                <c:pt idx="73">
                  <c:v>2.9979999999999993E-2</c:v>
                </c:pt>
                <c:pt idx="76">
                  <c:v>5.2979999999999999E-2</c:v>
                </c:pt>
                <c:pt idx="79">
                  <c:v>-6.5599999999999973E-3</c:v>
                </c:pt>
                <c:pt idx="82">
                  <c:v>2.1950000000000025E-3</c:v>
                </c:pt>
                <c:pt idx="85">
                  <c:v>1.1400000000000006E-2</c:v>
                </c:pt>
                <c:pt idx="88">
                  <c:v>5.3559999999999997E-2</c:v>
                </c:pt>
                <c:pt idx="91">
                  <c:v>1.776666666666667E-2</c:v>
                </c:pt>
                <c:pt idx="97">
                  <c:v>4.4130000000000003E-2</c:v>
                </c:pt>
                <c:pt idx="100">
                  <c:v>1.6100000000000003E-2</c:v>
                </c:pt>
                <c:pt idx="106">
                  <c:v>2.904E-2</c:v>
                </c:pt>
                <c:pt idx="109">
                  <c:v>0.13375000000000001</c:v>
                </c:pt>
                <c:pt idx="112">
                  <c:v>4.4509999999999994E-2</c:v>
                </c:pt>
                <c:pt idx="119">
                  <c:v>2.019E-2</c:v>
                </c:pt>
                <c:pt idx="122">
                  <c:v>2.8820000000000005E-2</c:v>
                </c:pt>
                <c:pt idx="125">
                  <c:v>4.1866666666666677E-2</c:v>
                </c:pt>
                <c:pt idx="131">
                  <c:v>1.0645E-2</c:v>
                </c:pt>
                <c:pt idx="134">
                  <c:v>3.2099999999999997E-2</c:v>
                </c:pt>
                <c:pt idx="137">
                  <c:v>4.4219999999999995E-2</c:v>
                </c:pt>
                <c:pt idx="140">
                  <c:v>2.5970000000000003E-2</c:v>
                </c:pt>
                <c:pt idx="143">
                  <c:v>4.0419999999999998E-2</c:v>
                </c:pt>
                <c:pt idx="146">
                  <c:v>0.13328500000000001</c:v>
                </c:pt>
                <c:pt idx="149">
                  <c:v>4.0374999999999994E-2</c:v>
                </c:pt>
                <c:pt idx="152">
                  <c:v>8.1650000000000021E-3</c:v>
                </c:pt>
                <c:pt idx="155">
                  <c:v>1.1939999999999997E-2</c:v>
                </c:pt>
                <c:pt idx="158">
                  <c:v>2.5800000000000033E-3</c:v>
                </c:pt>
                <c:pt idx="161">
                  <c:v>1.9969999999999998E-2</c:v>
                </c:pt>
                <c:pt idx="164">
                  <c:v>2.4029999999999999E-2</c:v>
                </c:pt>
                <c:pt idx="167">
                  <c:v>2.1530000000000004E-2</c:v>
                </c:pt>
                <c:pt idx="170">
                  <c:v>2.2600000000000002E-2</c:v>
                </c:pt>
                <c:pt idx="171">
                  <c:v>7.0570000000000008E-2</c:v>
                </c:pt>
                <c:pt idx="174">
                  <c:v>2.5150000000000002E-2</c:v>
                </c:pt>
                <c:pt idx="177">
                  <c:v>3.1655000000000003E-2</c:v>
                </c:pt>
                <c:pt idx="180">
                  <c:v>2.0674999999999999E-2</c:v>
                </c:pt>
                <c:pt idx="184">
                  <c:v>2.3908333333333337E-2</c:v>
                </c:pt>
                <c:pt idx="190">
                  <c:v>2.5849999999999998E-2</c:v>
                </c:pt>
                <c:pt idx="193">
                  <c:v>0.05</c:v>
                </c:pt>
                <c:pt idx="196">
                  <c:v>2.794E-2</c:v>
                </c:pt>
                <c:pt idx="200">
                  <c:v>9.130000000000001E-3</c:v>
                </c:pt>
                <c:pt idx="203">
                  <c:v>5.0970000000000001E-2</c:v>
                </c:pt>
                <c:pt idx="206">
                  <c:v>2.7552500000000001E-2</c:v>
                </c:pt>
                <c:pt idx="212">
                  <c:v>1.8384999999999999E-2</c:v>
                </c:pt>
                <c:pt idx="215">
                  <c:v>4.3949999999999996E-2</c:v>
                </c:pt>
                <c:pt idx="218">
                  <c:v>2.5086250000000004E-2</c:v>
                </c:pt>
                <c:pt idx="224">
                  <c:v>1.7490000000000002E-2</c:v>
                </c:pt>
                <c:pt idx="227">
                  <c:v>3.5776250000000002E-2</c:v>
                </c:pt>
                <c:pt idx="233">
                  <c:v>0.16019000000000003</c:v>
                </c:pt>
                <c:pt idx="236">
                  <c:v>0.10046000000000001</c:v>
                </c:pt>
                <c:pt idx="239">
                  <c:v>0.26187000000000005</c:v>
                </c:pt>
                <c:pt idx="242">
                  <c:v>5.1239999999999994E-2</c:v>
                </c:pt>
                <c:pt idx="245">
                  <c:v>7.5310000000000002E-2</c:v>
                </c:pt>
                <c:pt idx="248">
                  <c:v>0.24371000000000001</c:v>
                </c:pt>
                <c:pt idx="251">
                  <c:v>0.18542000000000003</c:v>
                </c:pt>
                <c:pt idx="254">
                  <c:v>0.19048000000000001</c:v>
                </c:pt>
                <c:pt idx="257">
                  <c:v>6.2199999999999991E-2</c:v>
                </c:pt>
                <c:pt idx="260">
                  <c:v>3.1959999999999995E-2</c:v>
                </c:pt>
                <c:pt idx="263">
                  <c:v>4.7460000000000002E-2</c:v>
                </c:pt>
                <c:pt idx="266">
                  <c:v>4.5159999999999999E-2</c:v>
                </c:pt>
                <c:pt idx="269">
                  <c:v>3.8400000000000049E-3</c:v>
                </c:pt>
                <c:pt idx="272">
                  <c:v>5.2465000000000019E-2</c:v>
                </c:pt>
                <c:pt idx="278">
                  <c:v>2.1890000000000007E-2</c:v>
                </c:pt>
                <c:pt idx="281">
                  <c:v>9.5789473684210532E-3</c:v>
                </c:pt>
                <c:pt idx="284">
                  <c:v>4.4089473684210533E-2</c:v>
                </c:pt>
                <c:pt idx="287">
                  <c:v>0.21999000000000002</c:v>
                </c:pt>
                <c:pt idx="290">
                  <c:v>-1.9499999999999995E-3</c:v>
                </c:pt>
                <c:pt idx="293">
                  <c:v>4.8079999999999998E-2</c:v>
                </c:pt>
                <c:pt idx="296">
                  <c:v>8.9699999999999953E-3</c:v>
                </c:pt>
                <c:pt idx="299">
                  <c:v>2.607000000000001E-2</c:v>
                </c:pt>
                <c:pt idx="302">
                  <c:v>3.0940000000000002E-2</c:v>
                </c:pt>
                <c:pt idx="305">
                  <c:v>3.202E-2</c:v>
                </c:pt>
                <c:pt idx="308">
                  <c:v>3.8539999999999998E-2</c:v>
                </c:pt>
                <c:pt idx="311">
                  <c:v>0.10457999999999998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68416"/>
        <c:axId val="106669952"/>
      </c:scatterChart>
      <c:valAx>
        <c:axId val="106668416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669952"/>
        <c:crosses val="autoZero"/>
        <c:crossBetween val="midCat"/>
        <c:majorUnit val="12"/>
      </c:valAx>
      <c:valAx>
        <c:axId val="1066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68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Results!$AQ$1</c:f>
              <c:strCache>
                <c:ptCount val="1"/>
                <c:pt idx="0">
                  <c:v>Mo corr.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Results!$AQ$2:$AQ$330</c:f>
              <c:numCache>
                <c:formatCode>General</c:formatCode>
                <c:ptCount val="329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0.14180000000000001</c:v>
                </c:pt>
                <c:pt idx="14">
                  <c:v>0.10920000000000001</c:v>
                </c:pt>
                <c:pt idx="17">
                  <c:v>0.38339999999999996</c:v>
                </c:pt>
                <c:pt idx="20">
                  <c:v>0.22609999999999997</c:v>
                </c:pt>
                <c:pt idx="23">
                  <c:v>0.26600000000000001</c:v>
                </c:pt>
                <c:pt idx="28">
                  <c:v>7.1010000000000004E-2</c:v>
                </c:pt>
                <c:pt idx="31">
                  <c:v>0.12384000000000001</c:v>
                </c:pt>
                <c:pt idx="34">
                  <c:v>0.20638000000000001</c:v>
                </c:pt>
                <c:pt idx="37">
                  <c:v>0.17953333333333338</c:v>
                </c:pt>
                <c:pt idx="43">
                  <c:v>9.3529999999999974E-2</c:v>
                </c:pt>
                <c:pt idx="46">
                  <c:v>0.11872000000000002</c:v>
                </c:pt>
                <c:pt idx="49">
                  <c:v>3.6940000000000021E-2</c:v>
                </c:pt>
                <c:pt idx="52">
                  <c:v>6.6720000000000029E-2</c:v>
                </c:pt>
                <c:pt idx="55">
                  <c:v>0.14032000000000003</c:v>
                </c:pt>
                <c:pt idx="58">
                  <c:v>4.4430000000000011E-2</c:v>
                </c:pt>
                <c:pt idx="61">
                  <c:v>7.2819999999999996E-2</c:v>
                </c:pt>
                <c:pt idx="64">
                  <c:v>-1.3399999999999999E-2</c:v>
                </c:pt>
                <c:pt idx="67">
                  <c:v>-8.4300000000000014E-2</c:v>
                </c:pt>
                <c:pt idx="70">
                  <c:v>-5.8799999999999963E-3</c:v>
                </c:pt>
                <c:pt idx="73">
                  <c:v>3.2119999999999996E-2</c:v>
                </c:pt>
                <c:pt idx="76">
                  <c:v>9.2880000000000018E-2</c:v>
                </c:pt>
                <c:pt idx="79">
                  <c:v>-1.3359999999999962E-2</c:v>
                </c:pt>
                <c:pt idx="82">
                  <c:v>5.6615000000000047E-2</c:v>
                </c:pt>
                <c:pt idx="85">
                  <c:v>-2.1099999999999997E-2</c:v>
                </c:pt>
                <c:pt idx="88">
                  <c:v>-0.17838000000000001</c:v>
                </c:pt>
                <c:pt idx="91">
                  <c:v>9.4833333333333367E-2</c:v>
                </c:pt>
                <c:pt idx="97">
                  <c:v>0.15699000000000005</c:v>
                </c:pt>
                <c:pt idx="100">
                  <c:v>6.8966666666666676E-2</c:v>
                </c:pt>
                <c:pt idx="106">
                  <c:v>0.17113</c:v>
                </c:pt>
                <c:pt idx="109">
                  <c:v>0.19755</c:v>
                </c:pt>
                <c:pt idx="112">
                  <c:v>0.18770999999999996</c:v>
                </c:pt>
                <c:pt idx="119">
                  <c:v>0.25142000000000003</c:v>
                </c:pt>
                <c:pt idx="122">
                  <c:v>0.69994000000000001</c:v>
                </c:pt>
                <c:pt idx="125">
                  <c:v>0.65443333333333342</c:v>
                </c:pt>
                <c:pt idx="131">
                  <c:v>0.21660499999999999</c:v>
                </c:pt>
                <c:pt idx="134">
                  <c:v>0.96748000000000001</c:v>
                </c:pt>
                <c:pt idx="137">
                  <c:v>0.81552000000000002</c:v>
                </c:pt>
                <c:pt idx="140">
                  <c:v>0.71883000000000008</c:v>
                </c:pt>
                <c:pt idx="143">
                  <c:v>0.37896000000000002</c:v>
                </c:pt>
                <c:pt idx="146">
                  <c:v>0.27823500000000001</c:v>
                </c:pt>
                <c:pt idx="149">
                  <c:v>0.27057500000000001</c:v>
                </c:pt>
                <c:pt idx="152">
                  <c:v>0.16580999999999999</c:v>
                </c:pt>
                <c:pt idx="155">
                  <c:v>0.12450500000000002</c:v>
                </c:pt>
                <c:pt idx="158">
                  <c:v>9.4740000000000019E-2</c:v>
                </c:pt>
                <c:pt idx="161">
                  <c:v>0.22561</c:v>
                </c:pt>
                <c:pt idx="164">
                  <c:v>0.17096</c:v>
                </c:pt>
                <c:pt idx="167">
                  <c:v>0.17995</c:v>
                </c:pt>
                <c:pt idx="170">
                  <c:v>0.17710000000000001</c:v>
                </c:pt>
                <c:pt idx="171">
                  <c:v>0.9049100000000001</c:v>
                </c:pt>
                <c:pt idx="174">
                  <c:v>0.12854000000000002</c:v>
                </c:pt>
                <c:pt idx="177">
                  <c:v>0.14655499999999999</c:v>
                </c:pt>
                <c:pt idx="180">
                  <c:v>0.23047500000000004</c:v>
                </c:pt>
                <c:pt idx="184">
                  <c:v>9.4716666666666671E-2</c:v>
                </c:pt>
                <c:pt idx="190">
                  <c:v>5.886000000000001E-2</c:v>
                </c:pt>
                <c:pt idx="193">
                  <c:v>0.12367</c:v>
                </c:pt>
                <c:pt idx="196">
                  <c:v>8.199999999999963E-4</c:v>
                </c:pt>
                <c:pt idx="200">
                  <c:v>6.3390000000000016E-2</c:v>
                </c:pt>
                <c:pt idx="203">
                  <c:v>3.1009999999999999E-2</c:v>
                </c:pt>
                <c:pt idx="206">
                  <c:v>2.2145000000000005E-2</c:v>
                </c:pt>
                <c:pt idx="212">
                  <c:v>-3.0499999999999196E-4</c:v>
                </c:pt>
                <c:pt idx="215">
                  <c:v>3.7899999999999978E-3</c:v>
                </c:pt>
                <c:pt idx="218">
                  <c:v>2.6783750000000009E-2</c:v>
                </c:pt>
                <c:pt idx="224">
                  <c:v>3.6895000000000004E-2</c:v>
                </c:pt>
                <c:pt idx="227">
                  <c:v>2.0172500000000003E-2</c:v>
                </c:pt>
                <c:pt idx="233">
                  <c:v>5.756E-2</c:v>
                </c:pt>
                <c:pt idx="236">
                  <c:v>4.6349999999999995E-2</c:v>
                </c:pt>
                <c:pt idx="239">
                  <c:v>0.11554000000000002</c:v>
                </c:pt>
                <c:pt idx="242">
                  <c:v>0.13836000000000001</c:v>
                </c:pt>
                <c:pt idx="245">
                  <c:v>-9.1870000000000007E-2</c:v>
                </c:pt>
                <c:pt idx="248">
                  <c:v>-8.0399999999999985E-3</c:v>
                </c:pt>
                <c:pt idx="251">
                  <c:v>9.5980000000000024E-2</c:v>
                </c:pt>
                <c:pt idx="254">
                  <c:v>0.11185</c:v>
                </c:pt>
                <c:pt idx="257">
                  <c:v>0.10745</c:v>
                </c:pt>
                <c:pt idx="260">
                  <c:v>0.11307</c:v>
                </c:pt>
                <c:pt idx="263">
                  <c:v>0.10737000000000001</c:v>
                </c:pt>
                <c:pt idx="266">
                  <c:v>-7.6850000000000043E-3</c:v>
                </c:pt>
                <c:pt idx="269">
                  <c:v>-7.209999999999989E-3</c:v>
                </c:pt>
                <c:pt idx="272">
                  <c:v>0.41553499999999993</c:v>
                </c:pt>
                <c:pt idx="278">
                  <c:v>3.7139999999999999E-2</c:v>
                </c:pt>
                <c:pt idx="281">
                  <c:v>2.9210526315789492E-2</c:v>
                </c:pt>
                <c:pt idx="284">
                  <c:v>0.55068421052631578</c:v>
                </c:pt>
                <c:pt idx="287">
                  <c:v>1.8228200000000001</c:v>
                </c:pt>
                <c:pt idx="290">
                  <c:v>0.58333000000000002</c:v>
                </c:pt>
                <c:pt idx="293">
                  <c:v>0.33520000000000005</c:v>
                </c:pt>
                <c:pt idx="296">
                  <c:v>0.29086000000000001</c:v>
                </c:pt>
                <c:pt idx="299">
                  <c:v>0.31790499999999999</c:v>
                </c:pt>
                <c:pt idx="302">
                  <c:v>0.56303999999999998</c:v>
                </c:pt>
                <c:pt idx="305">
                  <c:v>0.37861000000000006</c:v>
                </c:pt>
                <c:pt idx="308">
                  <c:v>1.1746000000000001</c:v>
                </c:pt>
                <c:pt idx="311">
                  <c:v>2.413395</c:v>
                </c:pt>
                <c:pt idx="314">
                  <c:v>0.13173600000000002</c:v>
                </c:pt>
                <c:pt idx="317">
                  <c:v>1.3464000000000005E-2</c:v>
                </c:pt>
                <c:pt idx="320">
                  <c:v>5.517600000000001E-2</c:v>
                </c:pt>
                <c:pt idx="323">
                  <c:v>-1.3199999999999998E-2</c:v>
                </c:pt>
                <c:pt idx="326">
                  <c:v>2.3100000000000052E-3</c:v>
                </c:pt>
              </c:numCache>
            </c:numRef>
          </c:xVal>
          <c:yVal>
            <c:numRef>
              <c:f>Results!$AI$2:$AI$330</c:f>
              <c:numCache>
                <c:formatCode>General</c:formatCode>
                <c:ptCount val="329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  <c:pt idx="314">
                  <c:v>126</c:v>
                </c:pt>
                <c:pt idx="317">
                  <c:v>222</c:v>
                </c:pt>
                <c:pt idx="320">
                  <c:v>138</c:v>
                </c:pt>
                <c:pt idx="323">
                  <c:v>234</c:v>
                </c:pt>
                <c:pt idx="326">
                  <c:v>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06432"/>
        <c:axId val="106707968"/>
      </c:scatterChart>
      <c:valAx>
        <c:axId val="106706432"/>
        <c:scaling>
          <c:orientation val="minMax"/>
          <c:max val="2.5"/>
          <c:min val="-0.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707968"/>
        <c:crosses val="autoZero"/>
        <c:crossBetween val="midCat"/>
        <c:majorUnit val="0.5"/>
      </c:valAx>
      <c:valAx>
        <c:axId val="106707968"/>
        <c:scaling>
          <c:orientation val="minMax"/>
          <c:max val="240"/>
          <c:min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06432"/>
        <c:crossesAt val="-0.5"/>
        <c:crossBetween val="midCat"/>
        <c:majorUnit val="1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Results!$AS$1</c:f>
              <c:strCache>
                <c:ptCount val="1"/>
                <c:pt idx="0">
                  <c:v>W corr.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Results!$AS$2:$AS$330</c:f>
              <c:numCache>
                <c:formatCode>General</c:formatCode>
                <c:ptCount val="329"/>
                <c:pt idx="0">
                  <c:v>2.3399999999999997E-2</c:v>
                </c:pt>
                <c:pt idx="3">
                  <c:v>9.5449999999999993E-2</c:v>
                </c:pt>
                <c:pt idx="6">
                  <c:v>0.15035000000000001</c:v>
                </c:pt>
                <c:pt idx="9">
                  <c:v>1.9300000000000001E-2</c:v>
                </c:pt>
                <c:pt idx="14">
                  <c:v>4.9299999999999997E-2</c:v>
                </c:pt>
                <c:pt idx="17">
                  <c:v>2.495E-2</c:v>
                </c:pt>
                <c:pt idx="20">
                  <c:v>-5.2350000000000001E-2</c:v>
                </c:pt>
                <c:pt idx="23">
                  <c:v>-3.5399999999999994E-2</c:v>
                </c:pt>
                <c:pt idx="28">
                  <c:v>2.9760000000000012E-2</c:v>
                </c:pt>
                <c:pt idx="31">
                  <c:v>4.6300000000000001E-2</c:v>
                </c:pt>
                <c:pt idx="34">
                  <c:v>7.5559999999999988E-2</c:v>
                </c:pt>
                <c:pt idx="37">
                  <c:v>2.908333333333334E-2</c:v>
                </c:pt>
                <c:pt idx="43">
                  <c:v>1.805E-2</c:v>
                </c:pt>
                <c:pt idx="46">
                  <c:v>-1.749999999999965E-4</c:v>
                </c:pt>
                <c:pt idx="49">
                  <c:v>4.4240000000000002E-2</c:v>
                </c:pt>
                <c:pt idx="52">
                  <c:v>5.3730000000000014E-2</c:v>
                </c:pt>
                <c:pt idx="55">
                  <c:v>5.1859999999999996E-2</c:v>
                </c:pt>
                <c:pt idx="58">
                  <c:v>7.2980000000000003E-2</c:v>
                </c:pt>
                <c:pt idx="61">
                  <c:v>6.5430000000000002E-2</c:v>
                </c:pt>
                <c:pt idx="64">
                  <c:v>2.4000000000000024E-3</c:v>
                </c:pt>
                <c:pt idx="67">
                  <c:v>6.4510000000000012E-2</c:v>
                </c:pt>
                <c:pt idx="70">
                  <c:v>9.1799999999999989E-3</c:v>
                </c:pt>
                <c:pt idx="73">
                  <c:v>2.9979999999999993E-2</c:v>
                </c:pt>
                <c:pt idx="76">
                  <c:v>5.2979999999999999E-2</c:v>
                </c:pt>
                <c:pt idx="79">
                  <c:v>-6.5599999999999973E-3</c:v>
                </c:pt>
                <c:pt idx="82">
                  <c:v>2.1950000000000025E-3</c:v>
                </c:pt>
                <c:pt idx="85">
                  <c:v>1.1400000000000006E-2</c:v>
                </c:pt>
                <c:pt idx="88">
                  <c:v>5.3559999999999997E-2</c:v>
                </c:pt>
                <c:pt idx="91">
                  <c:v>1.776666666666667E-2</c:v>
                </c:pt>
                <c:pt idx="97">
                  <c:v>4.4130000000000003E-2</c:v>
                </c:pt>
                <c:pt idx="100">
                  <c:v>1.6100000000000003E-2</c:v>
                </c:pt>
                <c:pt idx="106">
                  <c:v>2.904E-2</c:v>
                </c:pt>
                <c:pt idx="109">
                  <c:v>0.13375000000000001</c:v>
                </c:pt>
                <c:pt idx="112">
                  <c:v>4.4509999999999994E-2</c:v>
                </c:pt>
                <c:pt idx="119">
                  <c:v>2.019E-2</c:v>
                </c:pt>
                <c:pt idx="122">
                  <c:v>2.8820000000000005E-2</c:v>
                </c:pt>
                <c:pt idx="125">
                  <c:v>4.1866666666666677E-2</c:v>
                </c:pt>
                <c:pt idx="131">
                  <c:v>1.0645E-2</c:v>
                </c:pt>
                <c:pt idx="134">
                  <c:v>3.2099999999999997E-2</c:v>
                </c:pt>
                <c:pt idx="137">
                  <c:v>4.4219999999999995E-2</c:v>
                </c:pt>
                <c:pt idx="140">
                  <c:v>2.5970000000000003E-2</c:v>
                </c:pt>
                <c:pt idx="143">
                  <c:v>4.0419999999999998E-2</c:v>
                </c:pt>
                <c:pt idx="146">
                  <c:v>0.13328500000000001</c:v>
                </c:pt>
                <c:pt idx="149">
                  <c:v>4.0374999999999994E-2</c:v>
                </c:pt>
                <c:pt idx="152">
                  <c:v>8.1650000000000021E-3</c:v>
                </c:pt>
                <c:pt idx="155">
                  <c:v>1.1939999999999997E-2</c:v>
                </c:pt>
                <c:pt idx="158">
                  <c:v>2.5800000000000033E-3</c:v>
                </c:pt>
                <c:pt idx="161">
                  <c:v>1.9969999999999998E-2</c:v>
                </c:pt>
                <c:pt idx="164">
                  <c:v>2.4029999999999999E-2</c:v>
                </c:pt>
                <c:pt idx="167">
                  <c:v>2.1530000000000004E-2</c:v>
                </c:pt>
                <c:pt idx="170">
                  <c:v>2.2600000000000002E-2</c:v>
                </c:pt>
                <c:pt idx="171">
                  <c:v>7.0570000000000008E-2</c:v>
                </c:pt>
                <c:pt idx="174">
                  <c:v>2.5150000000000002E-2</c:v>
                </c:pt>
                <c:pt idx="177">
                  <c:v>3.1655000000000003E-2</c:v>
                </c:pt>
                <c:pt idx="180">
                  <c:v>2.0674999999999999E-2</c:v>
                </c:pt>
                <c:pt idx="184">
                  <c:v>2.3908333333333337E-2</c:v>
                </c:pt>
                <c:pt idx="190">
                  <c:v>2.5849999999999998E-2</c:v>
                </c:pt>
                <c:pt idx="193">
                  <c:v>0.05</c:v>
                </c:pt>
                <c:pt idx="196">
                  <c:v>2.794E-2</c:v>
                </c:pt>
                <c:pt idx="200">
                  <c:v>9.130000000000001E-3</c:v>
                </c:pt>
                <c:pt idx="203">
                  <c:v>5.0970000000000001E-2</c:v>
                </c:pt>
                <c:pt idx="206">
                  <c:v>2.7552500000000001E-2</c:v>
                </c:pt>
                <c:pt idx="212">
                  <c:v>1.8384999999999999E-2</c:v>
                </c:pt>
                <c:pt idx="215">
                  <c:v>4.3949999999999996E-2</c:v>
                </c:pt>
                <c:pt idx="218">
                  <c:v>2.5086250000000004E-2</c:v>
                </c:pt>
                <c:pt idx="224">
                  <c:v>1.7490000000000002E-2</c:v>
                </c:pt>
                <c:pt idx="227">
                  <c:v>3.5776250000000002E-2</c:v>
                </c:pt>
                <c:pt idx="233">
                  <c:v>0.16019000000000003</c:v>
                </c:pt>
                <c:pt idx="236">
                  <c:v>0.10046000000000001</c:v>
                </c:pt>
                <c:pt idx="239">
                  <c:v>0.26187000000000005</c:v>
                </c:pt>
                <c:pt idx="242">
                  <c:v>5.1239999999999994E-2</c:v>
                </c:pt>
                <c:pt idx="245">
                  <c:v>7.5310000000000002E-2</c:v>
                </c:pt>
                <c:pt idx="248">
                  <c:v>0.24371000000000001</c:v>
                </c:pt>
                <c:pt idx="251">
                  <c:v>0.18542000000000003</c:v>
                </c:pt>
                <c:pt idx="254">
                  <c:v>0.19048000000000001</c:v>
                </c:pt>
                <c:pt idx="257">
                  <c:v>6.2199999999999991E-2</c:v>
                </c:pt>
                <c:pt idx="260">
                  <c:v>3.1959999999999995E-2</c:v>
                </c:pt>
                <c:pt idx="263">
                  <c:v>4.7460000000000002E-2</c:v>
                </c:pt>
                <c:pt idx="266">
                  <c:v>4.5159999999999999E-2</c:v>
                </c:pt>
                <c:pt idx="269">
                  <c:v>3.8400000000000049E-3</c:v>
                </c:pt>
                <c:pt idx="272">
                  <c:v>5.2465000000000019E-2</c:v>
                </c:pt>
                <c:pt idx="278">
                  <c:v>2.1890000000000007E-2</c:v>
                </c:pt>
                <c:pt idx="281">
                  <c:v>9.5789473684210532E-3</c:v>
                </c:pt>
                <c:pt idx="284">
                  <c:v>4.4089473684210533E-2</c:v>
                </c:pt>
                <c:pt idx="287">
                  <c:v>0.21999000000000002</c:v>
                </c:pt>
                <c:pt idx="290">
                  <c:v>-1.9499999999999995E-3</c:v>
                </c:pt>
                <c:pt idx="293">
                  <c:v>4.8079999999999998E-2</c:v>
                </c:pt>
                <c:pt idx="296">
                  <c:v>8.9699999999999953E-3</c:v>
                </c:pt>
                <c:pt idx="299">
                  <c:v>2.607000000000001E-2</c:v>
                </c:pt>
                <c:pt idx="302">
                  <c:v>3.0940000000000002E-2</c:v>
                </c:pt>
                <c:pt idx="305">
                  <c:v>3.202E-2</c:v>
                </c:pt>
                <c:pt idx="308">
                  <c:v>3.8539999999999998E-2</c:v>
                </c:pt>
                <c:pt idx="311">
                  <c:v>0.10457999999999998</c:v>
                </c:pt>
                <c:pt idx="314">
                  <c:v>0.28864338461538458</c:v>
                </c:pt>
                <c:pt idx="317">
                  <c:v>2.3765076923076923E-2</c:v>
                </c:pt>
                <c:pt idx="320">
                  <c:v>0.11505323076923077</c:v>
                </c:pt>
                <c:pt idx="323">
                  <c:v>5.3307692307692327E-3</c:v>
                </c:pt>
                <c:pt idx="326">
                  <c:v>1.7759076923076923E-2</c:v>
                </c:pt>
              </c:numCache>
            </c:numRef>
          </c:xVal>
          <c:yVal>
            <c:numRef>
              <c:f>Results!$AI$2:$AI$330</c:f>
              <c:numCache>
                <c:formatCode>General</c:formatCode>
                <c:ptCount val="329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  <c:pt idx="314">
                  <c:v>126</c:v>
                </c:pt>
                <c:pt idx="317">
                  <c:v>222</c:v>
                </c:pt>
                <c:pt idx="320">
                  <c:v>138</c:v>
                </c:pt>
                <c:pt idx="323">
                  <c:v>234</c:v>
                </c:pt>
                <c:pt idx="326">
                  <c:v>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53024"/>
        <c:axId val="106763008"/>
      </c:scatterChart>
      <c:valAx>
        <c:axId val="106753024"/>
        <c:scaling>
          <c:orientation val="minMax"/>
          <c:max val="0.30000000000000004"/>
          <c:min val="-0.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763008"/>
        <c:crosses val="autoZero"/>
        <c:crossBetween val="midCat"/>
        <c:majorUnit val="0.1"/>
      </c:valAx>
      <c:valAx>
        <c:axId val="106763008"/>
        <c:scaling>
          <c:orientation val="minMax"/>
          <c:max val="240"/>
          <c:min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53024"/>
        <c:crossesAt val="-0.5"/>
        <c:crossBetween val="midCat"/>
        <c:majorUnit val="1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Mo with ERDA</c:v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[1]MAIN!$D$25:$D$37</c:f>
              <c:numCache>
                <c:formatCode>General</c:formatCode>
                <c:ptCount val="13"/>
                <c:pt idx="0">
                  <c:v>-2.8125</c:v>
                </c:pt>
                <c:pt idx="1">
                  <c:v>64.6875</c:v>
                </c:pt>
                <c:pt idx="2">
                  <c:v>-109.6875</c:v>
                </c:pt>
                <c:pt idx="3">
                  <c:v>64.6875</c:v>
                </c:pt>
                <c:pt idx="4">
                  <c:v>104.0625</c:v>
                </c:pt>
                <c:pt idx="5">
                  <c:v>210.9375</c:v>
                </c:pt>
                <c:pt idx="6">
                  <c:v>154.6875</c:v>
                </c:pt>
                <c:pt idx="7">
                  <c:v>154.6875</c:v>
                </c:pt>
                <c:pt idx="8">
                  <c:v>154.6875</c:v>
                </c:pt>
                <c:pt idx="9">
                  <c:v>154.6875</c:v>
                </c:pt>
                <c:pt idx="10">
                  <c:v>154.6875</c:v>
                </c:pt>
                <c:pt idx="11">
                  <c:v>-25.3125</c:v>
                </c:pt>
                <c:pt idx="12">
                  <c:v>-25.3125</c:v>
                </c:pt>
              </c:numCache>
            </c:numRef>
          </c:xVal>
          <c:yVal>
            <c:numRef>
              <c:f>[1]MAIN!$T$25:$T$37</c:f>
              <c:numCache>
                <c:formatCode>General</c:formatCode>
                <c:ptCount val="13"/>
                <c:pt idx="0">
                  <c:v>2.125</c:v>
                </c:pt>
                <c:pt idx="1">
                  <c:v>0.35519999999999996</c:v>
                </c:pt>
                <c:pt idx="2">
                  <c:v>1.1400000000000001</c:v>
                </c:pt>
                <c:pt idx="3">
                  <c:v>0.14019999999999999</c:v>
                </c:pt>
                <c:pt idx="4">
                  <c:v>-0.182</c:v>
                </c:pt>
                <c:pt idx="5">
                  <c:v>1.48</c:v>
                </c:pt>
                <c:pt idx="6">
                  <c:v>-0.16600000000000015</c:v>
                </c:pt>
                <c:pt idx="7">
                  <c:v>0.15499999999999997</c:v>
                </c:pt>
                <c:pt idx="8">
                  <c:v>0.61399999999999999</c:v>
                </c:pt>
                <c:pt idx="9">
                  <c:v>-0.23099999999999998</c:v>
                </c:pt>
                <c:pt idx="10">
                  <c:v>0.61599999999999988</c:v>
                </c:pt>
                <c:pt idx="11">
                  <c:v>7.1999999999999897E-2</c:v>
                </c:pt>
                <c:pt idx="12">
                  <c:v>7.5820000000000007</c:v>
                </c:pt>
              </c:numCache>
            </c:numRef>
          </c:yVal>
          <c:smooth val="0"/>
        </c:ser>
        <c:ser>
          <c:idx val="1"/>
          <c:order val="1"/>
          <c:tx>
            <c:v>Mo with RBS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Results!$AH$2:$AH$330</c:f>
              <c:numCache>
                <c:formatCode>General</c:formatCode>
                <c:ptCount val="329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  <c:pt idx="314">
                  <c:v>182.8125</c:v>
                </c:pt>
                <c:pt idx="317">
                  <c:v>182.8125</c:v>
                </c:pt>
                <c:pt idx="320">
                  <c:v>137.8125</c:v>
                </c:pt>
                <c:pt idx="323">
                  <c:v>137.8125</c:v>
                </c:pt>
                <c:pt idx="326">
                  <c:v>-115.3125</c:v>
                </c:pt>
              </c:numCache>
            </c:numRef>
          </c:xVal>
          <c:yVal>
            <c:numRef>
              <c:f>Results!$AQ$2:$AQ$330</c:f>
              <c:numCache>
                <c:formatCode>General</c:formatCode>
                <c:ptCount val="329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0.14180000000000001</c:v>
                </c:pt>
                <c:pt idx="14">
                  <c:v>0.10920000000000001</c:v>
                </c:pt>
                <c:pt idx="17">
                  <c:v>0.38339999999999996</c:v>
                </c:pt>
                <c:pt idx="20">
                  <c:v>0.22609999999999997</c:v>
                </c:pt>
                <c:pt idx="23">
                  <c:v>0.26600000000000001</c:v>
                </c:pt>
                <c:pt idx="28">
                  <c:v>7.1010000000000004E-2</c:v>
                </c:pt>
                <c:pt idx="31">
                  <c:v>0.12384000000000001</c:v>
                </c:pt>
                <c:pt idx="34">
                  <c:v>0.20638000000000001</c:v>
                </c:pt>
                <c:pt idx="37">
                  <c:v>0.17953333333333338</c:v>
                </c:pt>
                <c:pt idx="43">
                  <c:v>9.3529999999999974E-2</c:v>
                </c:pt>
                <c:pt idx="46">
                  <c:v>0.11872000000000002</c:v>
                </c:pt>
                <c:pt idx="49">
                  <c:v>3.6940000000000021E-2</c:v>
                </c:pt>
                <c:pt idx="52">
                  <c:v>6.6720000000000029E-2</c:v>
                </c:pt>
                <c:pt idx="55">
                  <c:v>0.14032000000000003</c:v>
                </c:pt>
                <c:pt idx="58">
                  <c:v>4.4430000000000011E-2</c:v>
                </c:pt>
                <c:pt idx="61">
                  <c:v>7.2819999999999996E-2</c:v>
                </c:pt>
                <c:pt idx="64">
                  <c:v>-1.3399999999999999E-2</c:v>
                </c:pt>
                <c:pt idx="67">
                  <c:v>-8.4300000000000014E-2</c:v>
                </c:pt>
                <c:pt idx="70">
                  <c:v>-5.8799999999999963E-3</c:v>
                </c:pt>
                <c:pt idx="73">
                  <c:v>3.2119999999999996E-2</c:v>
                </c:pt>
                <c:pt idx="76">
                  <c:v>9.2880000000000018E-2</c:v>
                </c:pt>
                <c:pt idx="79">
                  <c:v>-1.3359999999999962E-2</c:v>
                </c:pt>
                <c:pt idx="82">
                  <c:v>5.6615000000000047E-2</c:v>
                </c:pt>
                <c:pt idx="85">
                  <c:v>-2.1099999999999997E-2</c:v>
                </c:pt>
                <c:pt idx="88">
                  <c:v>-0.17838000000000001</c:v>
                </c:pt>
                <c:pt idx="91">
                  <c:v>9.4833333333333367E-2</c:v>
                </c:pt>
                <c:pt idx="97">
                  <c:v>0.15699000000000005</c:v>
                </c:pt>
                <c:pt idx="100">
                  <c:v>6.8966666666666676E-2</c:v>
                </c:pt>
                <c:pt idx="106">
                  <c:v>0.17113</c:v>
                </c:pt>
                <c:pt idx="109">
                  <c:v>0.19755</c:v>
                </c:pt>
                <c:pt idx="112">
                  <c:v>0.18770999999999996</c:v>
                </c:pt>
                <c:pt idx="119">
                  <c:v>0.25142000000000003</c:v>
                </c:pt>
                <c:pt idx="122">
                  <c:v>0.69994000000000001</c:v>
                </c:pt>
                <c:pt idx="125">
                  <c:v>0.65443333333333342</c:v>
                </c:pt>
                <c:pt idx="131">
                  <c:v>0.21660499999999999</c:v>
                </c:pt>
                <c:pt idx="134">
                  <c:v>0.96748000000000001</c:v>
                </c:pt>
                <c:pt idx="137">
                  <c:v>0.81552000000000002</c:v>
                </c:pt>
                <c:pt idx="140">
                  <c:v>0.71883000000000008</c:v>
                </c:pt>
                <c:pt idx="143">
                  <c:v>0.37896000000000002</c:v>
                </c:pt>
                <c:pt idx="146">
                  <c:v>0.27823500000000001</c:v>
                </c:pt>
                <c:pt idx="149">
                  <c:v>0.27057500000000001</c:v>
                </c:pt>
                <c:pt idx="152">
                  <c:v>0.16580999999999999</c:v>
                </c:pt>
                <c:pt idx="155">
                  <c:v>0.12450500000000002</c:v>
                </c:pt>
                <c:pt idx="158">
                  <c:v>9.4740000000000019E-2</c:v>
                </c:pt>
                <c:pt idx="161">
                  <c:v>0.22561</c:v>
                </c:pt>
                <c:pt idx="164">
                  <c:v>0.17096</c:v>
                </c:pt>
                <c:pt idx="167">
                  <c:v>0.17995</c:v>
                </c:pt>
                <c:pt idx="170">
                  <c:v>0.17710000000000001</c:v>
                </c:pt>
                <c:pt idx="171">
                  <c:v>0.9049100000000001</c:v>
                </c:pt>
                <c:pt idx="174">
                  <c:v>0.12854000000000002</c:v>
                </c:pt>
                <c:pt idx="177">
                  <c:v>0.14655499999999999</c:v>
                </c:pt>
                <c:pt idx="180">
                  <c:v>0.23047500000000004</c:v>
                </c:pt>
                <c:pt idx="184">
                  <c:v>9.4716666666666671E-2</c:v>
                </c:pt>
                <c:pt idx="190">
                  <c:v>5.886000000000001E-2</c:v>
                </c:pt>
                <c:pt idx="193">
                  <c:v>0.12367</c:v>
                </c:pt>
                <c:pt idx="196">
                  <c:v>8.199999999999963E-4</c:v>
                </c:pt>
                <c:pt idx="200">
                  <c:v>6.3390000000000016E-2</c:v>
                </c:pt>
                <c:pt idx="203">
                  <c:v>3.1009999999999999E-2</c:v>
                </c:pt>
                <c:pt idx="206">
                  <c:v>2.2145000000000005E-2</c:v>
                </c:pt>
                <c:pt idx="212">
                  <c:v>-3.0499999999999196E-4</c:v>
                </c:pt>
                <c:pt idx="215">
                  <c:v>3.7899999999999978E-3</c:v>
                </c:pt>
                <c:pt idx="218">
                  <c:v>2.6783750000000009E-2</c:v>
                </c:pt>
                <c:pt idx="224">
                  <c:v>3.6895000000000004E-2</c:v>
                </c:pt>
                <c:pt idx="227">
                  <c:v>2.0172500000000003E-2</c:v>
                </c:pt>
                <c:pt idx="233">
                  <c:v>5.756E-2</c:v>
                </c:pt>
                <c:pt idx="236">
                  <c:v>4.6349999999999995E-2</c:v>
                </c:pt>
                <c:pt idx="239">
                  <c:v>0.11554000000000002</c:v>
                </c:pt>
                <c:pt idx="242">
                  <c:v>0.13836000000000001</c:v>
                </c:pt>
                <c:pt idx="245">
                  <c:v>-9.1870000000000007E-2</c:v>
                </c:pt>
                <c:pt idx="248">
                  <c:v>-8.0399999999999985E-3</c:v>
                </c:pt>
                <c:pt idx="251">
                  <c:v>9.5980000000000024E-2</c:v>
                </c:pt>
                <c:pt idx="254">
                  <c:v>0.11185</c:v>
                </c:pt>
                <c:pt idx="257">
                  <c:v>0.10745</c:v>
                </c:pt>
                <c:pt idx="260">
                  <c:v>0.11307</c:v>
                </c:pt>
                <c:pt idx="263">
                  <c:v>0.10737000000000001</c:v>
                </c:pt>
                <c:pt idx="266">
                  <c:v>-7.6850000000000043E-3</c:v>
                </c:pt>
                <c:pt idx="269">
                  <c:v>-7.209999999999989E-3</c:v>
                </c:pt>
                <c:pt idx="272">
                  <c:v>0.41553499999999993</c:v>
                </c:pt>
                <c:pt idx="278">
                  <c:v>3.7139999999999999E-2</c:v>
                </c:pt>
                <c:pt idx="281">
                  <c:v>2.9210526315789492E-2</c:v>
                </c:pt>
                <c:pt idx="284">
                  <c:v>0.55068421052631578</c:v>
                </c:pt>
                <c:pt idx="287">
                  <c:v>1.8228200000000001</c:v>
                </c:pt>
                <c:pt idx="290">
                  <c:v>0.58333000000000002</c:v>
                </c:pt>
                <c:pt idx="293">
                  <c:v>0.33520000000000005</c:v>
                </c:pt>
                <c:pt idx="296">
                  <c:v>0.29086000000000001</c:v>
                </c:pt>
                <c:pt idx="299">
                  <c:v>0.31790499999999999</c:v>
                </c:pt>
                <c:pt idx="302">
                  <c:v>0.56303999999999998</c:v>
                </c:pt>
                <c:pt idx="305">
                  <c:v>0.37861000000000006</c:v>
                </c:pt>
                <c:pt idx="308">
                  <c:v>1.1746000000000001</c:v>
                </c:pt>
                <c:pt idx="311">
                  <c:v>2.413395</c:v>
                </c:pt>
                <c:pt idx="314">
                  <c:v>0.13173600000000002</c:v>
                </c:pt>
                <c:pt idx="317">
                  <c:v>1.3464000000000005E-2</c:v>
                </c:pt>
                <c:pt idx="320">
                  <c:v>5.517600000000001E-2</c:v>
                </c:pt>
                <c:pt idx="323">
                  <c:v>-1.3199999999999998E-2</c:v>
                </c:pt>
                <c:pt idx="326">
                  <c:v>2.3100000000000052E-3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83872"/>
        <c:axId val="106786176"/>
      </c:scatterChart>
      <c:valAx>
        <c:axId val="106783872"/>
        <c:scaling>
          <c:orientation val="minMax"/>
          <c:max val="225"/>
          <c:min val="-1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Toroidal distance from gas inlet [deg]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86176"/>
        <c:crosses val="autoZero"/>
        <c:crossBetween val="midCat"/>
        <c:majorUnit val="45"/>
      </c:valAx>
      <c:valAx>
        <c:axId val="10678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Mo concentration [1E15/cm2]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83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713976377952761"/>
          <c:y val="0.44463710077477431"/>
          <c:w val="0.21008245844269463"/>
          <c:h val="0.1657082555402224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Results!$AF$1</c:f>
              <c:strCache>
                <c:ptCount val="1"/>
                <c:pt idx="0">
                  <c:v>Mo peak total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4"/>
            <c:dispRSqr val="1"/>
            <c:dispEq val="1"/>
            <c:trendlineLbl>
              <c:layout>
                <c:manualLayout>
                  <c:x val="-1.0027970187714222E-2"/>
                  <c:y val="-2.4023030891910505E-4"/>
                </c:manualLayout>
              </c:layout>
              <c:numFmt formatCode="0.00000E+00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(Results!$AI$133,Results!$AI$289:$AI$313)</c:f>
              <c:numCache>
                <c:formatCode>General</c:formatCode>
                <c:ptCount val="26"/>
                <c:pt idx="0">
                  <c:v>186</c:v>
                </c:pt>
                <c:pt idx="1">
                  <c:v>126</c:v>
                </c:pt>
                <c:pt idx="4">
                  <c:v>138</c:v>
                </c:pt>
                <c:pt idx="7">
                  <c:v>150</c:v>
                </c:pt>
                <c:pt idx="10">
                  <c:v>162</c:v>
                </c:pt>
                <c:pt idx="13">
                  <c:v>174</c:v>
                </c:pt>
                <c:pt idx="16">
                  <c:v>198</c:v>
                </c:pt>
                <c:pt idx="19">
                  <c:v>210</c:v>
                </c:pt>
                <c:pt idx="22">
                  <c:v>222</c:v>
                </c:pt>
                <c:pt idx="25">
                  <c:v>234</c:v>
                </c:pt>
              </c:numCache>
            </c:numRef>
          </c:xVal>
          <c:yVal>
            <c:numRef>
              <c:f>(Results!$AF$133,Results!$AF$289:$AF$313)</c:f>
              <c:numCache>
                <c:formatCode>General</c:formatCode>
                <c:ptCount val="26"/>
                <c:pt idx="0">
                  <c:v>0.29385</c:v>
                </c:pt>
                <c:pt idx="1">
                  <c:v>2.2627999999999999</c:v>
                </c:pt>
                <c:pt idx="4">
                  <c:v>0.68484999999999996</c:v>
                </c:pt>
                <c:pt idx="7">
                  <c:v>0.42819999999999991</c:v>
                </c:pt>
                <c:pt idx="10">
                  <c:v>0.38874999999999998</c:v>
                </c:pt>
                <c:pt idx="13">
                  <c:v>0.54804999999999993</c:v>
                </c:pt>
                <c:pt idx="16">
                  <c:v>1.0345000000000002</c:v>
                </c:pt>
                <c:pt idx="19">
                  <c:v>0.67420000000000002</c:v>
                </c:pt>
                <c:pt idx="22">
                  <c:v>1.786</c:v>
                </c:pt>
                <c:pt idx="25">
                  <c:v>3.7695499999999997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5488"/>
        <c:axId val="107297024"/>
      </c:scatterChart>
      <c:valAx>
        <c:axId val="107295488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7297024"/>
        <c:crosses val="autoZero"/>
        <c:crossBetween val="midCat"/>
        <c:majorUnit val="10"/>
      </c:valAx>
      <c:valAx>
        <c:axId val="10729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9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15016049223355277"/>
                  <c:y val="3.831933508311460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Calibration!$B$4:$B$9</c:f>
              <c:numCache>
                <c:formatCode>General</c:formatCode>
                <c:ptCount val="6"/>
                <c:pt idx="0">
                  <c:v>174</c:v>
                </c:pt>
                <c:pt idx="1">
                  <c:v>262</c:v>
                </c:pt>
                <c:pt idx="3">
                  <c:v>734</c:v>
                </c:pt>
                <c:pt idx="4">
                  <c:v>676</c:v>
                </c:pt>
                <c:pt idx="5">
                  <c:v>436</c:v>
                </c:pt>
              </c:numCache>
            </c:numRef>
          </c:xVal>
          <c:yVal>
            <c:numRef>
              <c:f>Calibration!$C$4:$C$9</c:f>
              <c:numCache>
                <c:formatCode>General</c:formatCode>
                <c:ptCount val="6"/>
                <c:pt idx="0">
                  <c:v>511.7</c:v>
                </c:pt>
                <c:pt idx="1">
                  <c:v>731.9</c:v>
                </c:pt>
                <c:pt idx="3">
                  <c:v>1835.9</c:v>
                </c:pt>
                <c:pt idx="4">
                  <c:v>1697.2</c:v>
                </c:pt>
                <c:pt idx="5">
                  <c:v>1137.5999999999999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86208"/>
        <c:axId val="107087744"/>
      </c:scatterChart>
      <c:valAx>
        <c:axId val="1070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87744"/>
        <c:crosses val="autoZero"/>
        <c:crossBetween val="midCat"/>
      </c:valAx>
      <c:valAx>
        <c:axId val="10708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86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75385730144911E-2"/>
          <c:y val="5.1400554097404488E-2"/>
          <c:w val="0.92036643853156874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Mo toroidally (unweighted)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</c:spPr>
          </c:marker>
          <c:xVal>
            <c:numRef>
              <c:f>Results!$J$2:$J$315</c:f>
              <c:numCache>
                <c:formatCode>General</c:formatCode>
                <c:ptCount val="314"/>
                <c:pt idx="0">
                  <c:v>213.27330508474577</c:v>
                </c:pt>
                <c:pt idx="1">
                  <c:v>211.41419491525423</c:v>
                </c:pt>
                <c:pt idx="2">
                  <c:v>208.60169491525423</c:v>
                </c:pt>
                <c:pt idx="3">
                  <c:v>196.4139344262295</c:v>
                </c:pt>
                <c:pt idx="4">
                  <c:v>194.0625</c:v>
                </c:pt>
                <c:pt idx="5">
                  <c:v>191.7110655737705</c:v>
                </c:pt>
                <c:pt idx="6">
                  <c:v>190.7889344262295</c:v>
                </c:pt>
                <c:pt idx="7">
                  <c:v>188.4375</c:v>
                </c:pt>
                <c:pt idx="8">
                  <c:v>186.0860655737705</c:v>
                </c:pt>
                <c:pt idx="9">
                  <c:v>188.4375</c:v>
                </c:pt>
                <c:pt idx="10">
                  <c:v>188.4375</c:v>
                </c:pt>
                <c:pt idx="11">
                  <c:v>188.4375</c:v>
                </c:pt>
                <c:pt idx="12">
                  <c:v>188.4375</c:v>
                </c:pt>
                <c:pt idx="13">
                  <c:v>188.4375</c:v>
                </c:pt>
                <c:pt idx="14">
                  <c:v>151.42137096774195</c:v>
                </c:pt>
                <c:pt idx="15">
                  <c:v>149.0625</c:v>
                </c:pt>
                <c:pt idx="16">
                  <c:v>146.70362903225805</c:v>
                </c:pt>
                <c:pt idx="17">
                  <c:v>151.42500000000001</c:v>
                </c:pt>
                <c:pt idx="18">
                  <c:v>149.08499999999998</c:v>
                </c:pt>
                <c:pt idx="19">
                  <c:v>146.69999999999999</c:v>
                </c:pt>
                <c:pt idx="20">
                  <c:v>145.78512396694214</c:v>
                </c:pt>
                <c:pt idx="21">
                  <c:v>143.46074380165288</c:v>
                </c:pt>
                <c:pt idx="22">
                  <c:v>141.08987603305786</c:v>
                </c:pt>
                <c:pt idx="23">
                  <c:v>145.7889344262295</c:v>
                </c:pt>
                <c:pt idx="24">
                  <c:v>144.63627049180326</c:v>
                </c:pt>
                <c:pt idx="25">
                  <c:v>143.4375</c:v>
                </c:pt>
                <c:pt idx="26">
                  <c:v>142.23872950819674</c:v>
                </c:pt>
                <c:pt idx="27">
                  <c:v>141.13217213114754</c:v>
                </c:pt>
                <c:pt idx="28">
                  <c:v>124.21875</c:v>
                </c:pt>
                <c:pt idx="29">
                  <c:v>126.5625</c:v>
                </c:pt>
                <c:pt idx="30">
                  <c:v>128.90625</c:v>
                </c:pt>
                <c:pt idx="31">
                  <c:v>123.35387323943662</c:v>
                </c:pt>
                <c:pt idx="32">
                  <c:v>120.9375</c:v>
                </c:pt>
                <c:pt idx="33">
                  <c:v>118.52112676056338</c:v>
                </c:pt>
                <c:pt idx="34">
                  <c:v>123.30357142857143</c:v>
                </c:pt>
                <c:pt idx="35">
                  <c:v>120.9375</c:v>
                </c:pt>
                <c:pt idx="36">
                  <c:v>118.57142857142857</c:v>
                </c:pt>
                <c:pt idx="37">
                  <c:v>123.30000000000001</c:v>
                </c:pt>
                <c:pt idx="38">
                  <c:v>122.4</c:v>
                </c:pt>
                <c:pt idx="39">
                  <c:v>121.50000000000001</c:v>
                </c:pt>
                <c:pt idx="40">
                  <c:v>120.60000000000001</c:v>
                </c:pt>
                <c:pt idx="41">
                  <c:v>119.7</c:v>
                </c:pt>
                <c:pt idx="42">
                  <c:v>118.80000000000001</c:v>
                </c:pt>
                <c:pt idx="43">
                  <c:v>118.58231707317074</c:v>
                </c:pt>
                <c:pt idx="44">
                  <c:v>120.8689024390244</c:v>
                </c:pt>
                <c:pt idx="45">
                  <c:v>123.29268292682926</c:v>
                </c:pt>
                <c:pt idx="46">
                  <c:v>118.53260869565217</c:v>
                </c:pt>
                <c:pt idx="47">
                  <c:v>120.9375</c:v>
                </c:pt>
                <c:pt idx="48">
                  <c:v>123.34239130434783</c:v>
                </c:pt>
                <c:pt idx="49">
                  <c:v>135.46875</c:v>
                </c:pt>
                <c:pt idx="50">
                  <c:v>137.8125</c:v>
                </c:pt>
                <c:pt idx="51">
                  <c:v>140.15625</c:v>
                </c:pt>
                <c:pt idx="52">
                  <c:v>112.9610655737705</c:v>
                </c:pt>
                <c:pt idx="53">
                  <c:v>115.3125</c:v>
                </c:pt>
                <c:pt idx="54">
                  <c:v>117.6639344262295</c:v>
                </c:pt>
                <c:pt idx="55">
                  <c:v>106.42857142857143</c:v>
                </c:pt>
                <c:pt idx="56">
                  <c:v>104.0625</c:v>
                </c:pt>
                <c:pt idx="57">
                  <c:v>101.69642857142857</c:v>
                </c:pt>
                <c:pt idx="58">
                  <c:v>101.7110655737705</c:v>
                </c:pt>
                <c:pt idx="59">
                  <c:v>104.0625</c:v>
                </c:pt>
                <c:pt idx="60">
                  <c:v>106.4139344262295</c:v>
                </c:pt>
                <c:pt idx="61">
                  <c:v>100.77731092436974</c:v>
                </c:pt>
                <c:pt idx="62">
                  <c:v>98.461134453781526</c:v>
                </c:pt>
                <c:pt idx="63">
                  <c:v>96.097689075630257</c:v>
                </c:pt>
                <c:pt idx="64">
                  <c:v>157.08022388059703</c:v>
                </c:pt>
                <c:pt idx="65">
                  <c:v>154.6875</c:v>
                </c:pt>
                <c:pt idx="66">
                  <c:v>152.29477611940297</c:v>
                </c:pt>
                <c:pt idx="67">
                  <c:v>157.04637096774195</c:v>
                </c:pt>
                <c:pt idx="68">
                  <c:v>154.6875</c:v>
                </c:pt>
                <c:pt idx="69">
                  <c:v>152.32862903225805</c:v>
                </c:pt>
                <c:pt idx="70">
                  <c:v>157.01923076923077</c:v>
                </c:pt>
                <c:pt idx="71">
                  <c:v>154.66346153846155</c:v>
                </c:pt>
                <c:pt idx="72">
                  <c:v>152.35576923076923</c:v>
                </c:pt>
                <c:pt idx="73">
                  <c:v>152.314453125</c:v>
                </c:pt>
                <c:pt idx="74">
                  <c:v>154.6875</c:v>
                </c:pt>
                <c:pt idx="75">
                  <c:v>157.060546875</c:v>
                </c:pt>
                <c:pt idx="76">
                  <c:v>123.31730769230769</c:v>
                </c:pt>
                <c:pt idx="77">
                  <c:v>120.9375</c:v>
                </c:pt>
                <c:pt idx="78">
                  <c:v>118.55769230769231</c:v>
                </c:pt>
                <c:pt idx="79">
                  <c:v>123.28512396694214</c:v>
                </c:pt>
                <c:pt idx="80">
                  <c:v>120.68181818181817</c:v>
                </c:pt>
                <c:pt idx="81">
                  <c:v>118.58987603305786</c:v>
                </c:pt>
                <c:pt idx="82">
                  <c:v>118.60169491525424</c:v>
                </c:pt>
                <c:pt idx="83">
                  <c:v>120.9375</c:v>
                </c:pt>
                <c:pt idx="84">
                  <c:v>123.27330508474576</c:v>
                </c:pt>
                <c:pt idx="85">
                  <c:v>118.57862903225808</c:v>
                </c:pt>
                <c:pt idx="86">
                  <c:v>120.9375</c:v>
                </c:pt>
                <c:pt idx="87">
                  <c:v>123.29637096774192</c:v>
                </c:pt>
                <c:pt idx="88">
                  <c:v>123.34239130434783</c:v>
                </c:pt>
                <c:pt idx="89">
                  <c:v>120.9375</c:v>
                </c:pt>
                <c:pt idx="90">
                  <c:v>118.53260869565217</c:v>
                </c:pt>
                <c:pt idx="91">
                  <c:v>100.7889344262295</c:v>
                </c:pt>
                <c:pt idx="92">
                  <c:v>99.866803278688536</c:v>
                </c:pt>
                <c:pt idx="93">
                  <c:v>98.944672131147541</c:v>
                </c:pt>
                <c:pt idx="94">
                  <c:v>98.022540983606547</c:v>
                </c:pt>
                <c:pt idx="95">
                  <c:v>97.10040983606558</c:v>
                </c:pt>
                <c:pt idx="96">
                  <c:v>96.178278688524586</c:v>
                </c:pt>
                <c:pt idx="97">
                  <c:v>95.185546875</c:v>
                </c:pt>
                <c:pt idx="98">
                  <c:v>92.8125</c:v>
                </c:pt>
                <c:pt idx="99">
                  <c:v>90.439453125</c:v>
                </c:pt>
                <c:pt idx="100">
                  <c:v>90.461065573770497</c:v>
                </c:pt>
                <c:pt idx="101">
                  <c:v>91.383196721311464</c:v>
                </c:pt>
                <c:pt idx="102">
                  <c:v>92.305327868852459</c:v>
                </c:pt>
                <c:pt idx="103">
                  <c:v>93.227459016393453</c:v>
                </c:pt>
                <c:pt idx="104">
                  <c:v>94.14959016393442</c:v>
                </c:pt>
                <c:pt idx="105">
                  <c:v>95.071721311475414</c:v>
                </c:pt>
                <c:pt idx="106">
                  <c:v>72.660123966942137</c:v>
                </c:pt>
                <c:pt idx="107">
                  <c:v>70.28925619834709</c:v>
                </c:pt>
                <c:pt idx="108">
                  <c:v>67.964876033057863</c:v>
                </c:pt>
                <c:pt idx="109">
                  <c:v>67.038934426229503</c:v>
                </c:pt>
                <c:pt idx="110">
                  <c:v>64.6875</c:v>
                </c:pt>
                <c:pt idx="111">
                  <c:v>62.336065573770497</c:v>
                </c:pt>
                <c:pt idx="112">
                  <c:v>67.063953488372078</c:v>
                </c:pt>
                <c:pt idx="113">
                  <c:v>66.191860465116264</c:v>
                </c:pt>
                <c:pt idx="114">
                  <c:v>65.319767441860449</c:v>
                </c:pt>
                <c:pt idx="115">
                  <c:v>64.447674418604635</c:v>
                </c:pt>
                <c:pt idx="116">
                  <c:v>63.57558139534882</c:v>
                </c:pt>
                <c:pt idx="117">
                  <c:v>62.703488372093005</c:v>
                </c:pt>
                <c:pt idx="118">
                  <c:v>62.267441860465112</c:v>
                </c:pt>
                <c:pt idx="119">
                  <c:v>16.413934426229531</c:v>
                </c:pt>
                <c:pt idx="120">
                  <c:v>14.0625</c:v>
                </c:pt>
                <c:pt idx="121">
                  <c:v>11.711065573770469</c:v>
                </c:pt>
                <c:pt idx="122">
                  <c:v>10.785123966942137</c:v>
                </c:pt>
                <c:pt idx="123">
                  <c:v>8.4142561983470898</c:v>
                </c:pt>
                <c:pt idx="124">
                  <c:v>6.0433884297520706</c:v>
                </c:pt>
                <c:pt idx="125">
                  <c:v>10.604508196721298</c:v>
                </c:pt>
                <c:pt idx="126">
                  <c:v>9.6823770491803316</c:v>
                </c:pt>
                <c:pt idx="127">
                  <c:v>8.7602459016393368</c:v>
                </c:pt>
                <c:pt idx="128">
                  <c:v>7.8381147540983704</c:v>
                </c:pt>
                <c:pt idx="129">
                  <c:v>6.9159836065573757</c:v>
                </c:pt>
                <c:pt idx="130">
                  <c:v>5.9938524590163809</c:v>
                </c:pt>
                <c:pt idx="131">
                  <c:v>5.163934426229531</c:v>
                </c:pt>
                <c:pt idx="132">
                  <c:v>2.8125</c:v>
                </c:pt>
                <c:pt idx="133">
                  <c:v>0.46106557377046897</c:v>
                </c:pt>
                <c:pt idx="134">
                  <c:v>-5.0304878048780211</c:v>
                </c:pt>
                <c:pt idx="135">
                  <c:v>-2.8353658536585442</c:v>
                </c:pt>
                <c:pt idx="136">
                  <c:v>-0.45731707317071368</c:v>
                </c:pt>
                <c:pt idx="137">
                  <c:v>-6.0823170731707137</c:v>
                </c:pt>
                <c:pt idx="138">
                  <c:v>-8.4603658536585442</c:v>
                </c:pt>
                <c:pt idx="139">
                  <c:v>-10.838414634146346</c:v>
                </c:pt>
                <c:pt idx="140">
                  <c:v>-11.70362903225805</c:v>
                </c:pt>
                <c:pt idx="141">
                  <c:v>-14.0625</c:v>
                </c:pt>
                <c:pt idx="142">
                  <c:v>-16.42137096774195</c:v>
                </c:pt>
                <c:pt idx="143">
                  <c:v>-17.351694915254228</c:v>
                </c:pt>
                <c:pt idx="144">
                  <c:v>-19.6875</c:v>
                </c:pt>
                <c:pt idx="145">
                  <c:v>-22.023305084745772</c:v>
                </c:pt>
                <c:pt idx="146">
                  <c:v>-22.887931034482762</c:v>
                </c:pt>
                <c:pt idx="147">
                  <c:v>-25.331896551724128</c:v>
                </c:pt>
                <c:pt idx="148">
                  <c:v>-27.737068965517238</c:v>
                </c:pt>
                <c:pt idx="149">
                  <c:v>-22.913602941176464</c:v>
                </c:pt>
                <c:pt idx="150">
                  <c:v>-25.3125</c:v>
                </c:pt>
                <c:pt idx="151">
                  <c:v>-27.711397058823536</c:v>
                </c:pt>
                <c:pt idx="152">
                  <c:v>-22.936046511627893</c:v>
                </c:pt>
                <c:pt idx="153">
                  <c:v>-25.334302325581405</c:v>
                </c:pt>
                <c:pt idx="154">
                  <c:v>-27.688953488372107</c:v>
                </c:pt>
                <c:pt idx="155">
                  <c:v>-22.957317073170714</c:v>
                </c:pt>
                <c:pt idx="156">
                  <c:v>-25.335365853658544</c:v>
                </c:pt>
                <c:pt idx="157">
                  <c:v>-27.667682926829286</c:v>
                </c:pt>
                <c:pt idx="158">
                  <c:v>-22.961065573770469</c:v>
                </c:pt>
                <c:pt idx="159">
                  <c:v>-25.3125</c:v>
                </c:pt>
                <c:pt idx="160">
                  <c:v>-27.663934426229531</c:v>
                </c:pt>
                <c:pt idx="161">
                  <c:v>-22.957317073170714</c:v>
                </c:pt>
                <c:pt idx="162">
                  <c:v>-25.335365853658544</c:v>
                </c:pt>
                <c:pt idx="163">
                  <c:v>-27.667682926829286</c:v>
                </c:pt>
                <c:pt idx="164">
                  <c:v>-22.932692307692321</c:v>
                </c:pt>
                <c:pt idx="165">
                  <c:v>-25.225961538461519</c:v>
                </c:pt>
                <c:pt idx="166">
                  <c:v>-27.432692307692321</c:v>
                </c:pt>
                <c:pt idx="167">
                  <c:v>-22.939453125</c:v>
                </c:pt>
                <c:pt idx="168">
                  <c:v>-25.3125</c:v>
                </c:pt>
                <c:pt idx="169">
                  <c:v>-27.685546875</c:v>
                </c:pt>
                <c:pt idx="170">
                  <c:v>-23.00373134328359</c:v>
                </c:pt>
                <c:pt idx="171">
                  <c:v>-22.890625</c:v>
                </c:pt>
                <c:pt idx="172">
                  <c:v>-25.3125</c:v>
                </c:pt>
                <c:pt idx="173">
                  <c:v>-27.734375</c:v>
                </c:pt>
                <c:pt idx="174">
                  <c:v>-28.586065573770469</c:v>
                </c:pt>
                <c:pt idx="175">
                  <c:v>-30.9375</c:v>
                </c:pt>
                <c:pt idx="176">
                  <c:v>-33.288934426229503</c:v>
                </c:pt>
                <c:pt idx="177">
                  <c:v>-28.571428571428584</c:v>
                </c:pt>
                <c:pt idx="178">
                  <c:v>-30.9375</c:v>
                </c:pt>
                <c:pt idx="179">
                  <c:v>-33.303571428571388</c:v>
                </c:pt>
                <c:pt idx="180">
                  <c:v>-34.199999999999989</c:v>
                </c:pt>
                <c:pt idx="181">
                  <c:v>-36.58499999999998</c:v>
                </c:pt>
                <c:pt idx="182">
                  <c:v>-38.925000000000011</c:v>
                </c:pt>
                <c:pt idx="183">
                  <c:v>-38.925000000000011</c:v>
                </c:pt>
                <c:pt idx="184">
                  <c:v>-34.164959016393425</c:v>
                </c:pt>
                <c:pt idx="185">
                  <c:v>-35.08709016393442</c:v>
                </c:pt>
                <c:pt idx="186">
                  <c:v>-36.009221311475414</c:v>
                </c:pt>
                <c:pt idx="187">
                  <c:v>-36.931352459016409</c:v>
                </c:pt>
                <c:pt idx="188">
                  <c:v>-37.853483606557404</c:v>
                </c:pt>
                <c:pt idx="189">
                  <c:v>-38.775614754098399</c:v>
                </c:pt>
                <c:pt idx="190">
                  <c:v>-34.2266949152542</c:v>
                </c:pt>
                <c:pt idx="191">
                  <c:v>-36.5625</c:v>
                </c:pt>
                <c:pt idx="192">
                  <c:v>-38.8983050847458</c:v>
                </c:pt>
                <c:pt idx="193">
                  <c:v>-39.807692307692321</c:v>
                </c:pt>
                <c:pt idx="194">
                  <c:v>-42.1875</c:v>
                </c:pt>
                <c:pt idx="195">
                  <c:v>-44.567307692307679</c:v>
                </c:pt>
                <c:pt idx="196">
                  <c:v>-45.408266129032256</c:v>
                </c:pt>
                <c:pt idx="197">
                  <c:v>-45.45362903225805</c:v>
                </c:pt>
                <c:pt idx="198">
                  <c:v>-47.721774193548413</c:v>
                </c:pt>
                <c:pt idx="199">
                  <c:v>-49.899193548387075</c:v>
                </c:pt>
                <c:pt idx="200">
                  <c:v>-73.57862903225805</c:v>
                </c:pt>
                <c:pt idx="201">
                  <c:v>-75.9375</c:v>
                </c:pt>
                <c:pt idx="202">
                  <c:v>-78.29637096774195</c:v>
                </c:pt>
                <c:pt idx="203">
                  <c:v>-79.20362903225805</c:v>
                </c:pt>
                <c:pt idx="204">
                  <c:v>-81.5625</c:v>
                </c:pt>
                <c:pt idx="205">
                  <c:v>-83.92137096774195</c:v>
                </c:pt>
                <c:pt idx="206">
                  <c:v>-79.349385245901601</c:v>
                </c:pt>
                <c:pt idx="207">
                  <c:v>-80.271516393442596</c:v>
                </c:pt>
                <c:pt idx="208">
                  <c:v>-81.193647540983591</c:v>
                </c:pt>
                <c:pt idx="209">
                  <c:v>-82.115778688524586</c:v>
                </c:pt>
                <c:pt idx="210">
                  <c:v>-83.03790983606558</c:v>
                </c:pt>
                <c:pt idx="211">
                  <c:v>-83.960040983606575</c:v>
                </c:pt>
                <c:pt idx="212">
                  <c:v>-107.33987603305786</c:v>
                </c:pt>
                <c:pt idx="213">
                  <c:v>-109.71074380165288</c:v>
                </c:pt>
                <c:pt idx="214">
                  <c:v>-112.03512396694214</c:v>
                </c:pt>
                <c:pt idx="215">
                  <c:v>-112.96875</c:v>
                </c:pt>
                <c:pt idx="216">
                  <c:v>-115.3125</c:v>
                </c:pt>
                <c:pt idx="217">
                  <c:v>-117.65625</c:v>
                </c:pt>
                <c:pt idx="218">
                  <c:v>-112.96875</c:v>
                </c:pt>
                <c:pt idx="219">
                  <c:v>-113.90625</c:v>
                </c:pt>
                <c:pt idx="220">
                  <c:v>-114.84375</c:v>
                </c:pt>
                <c:pt idx="221">
                  <c:v>-115.78125</c:v>
                </c:pt>
                <c:pt idx="222">
                  <c:v>-116.71875</c:v>
                </c:pt>
                <c:pt idx="223">
                  <c:v>-117.65625</c:v>
                </c:pt>
                <c:pt idx="224">
                  <c:v>218.91012396694214</c:v>
                </c:pt>
                <c:pt idx="225">
                  <c:v>216.53925619834712</c:v>
                </c:pt>
                <c:pt idx="226">
                  <c:v>214.21487603305786</c:v>
                </c:pt>
                <c:pt idx="227">
                  <c:v>218.91012396694214</c:v>
                </c:pt>
                <c:pt idx="228">
                  <c:v>217.98037190082644</c:v>
                </c:pt>
                <c:pt idx="229">
                  <c:v>217.05061983471074</c:v>
                </c:pt>
                <c:pt idx="230">
                  <c:v>216.12086776859505</c:v>
                </c:pt>
                <c:pt idx="231">
                  <c:v>215.19111570247935</c:v>
                </c:pt>
                <c:pt idx="232">
                  <c:v>214.26136363636363</c:v>
                </c:pt>
                <c:pt idx="233">
                  <c:v>154.66783216783216</c:v>
                </c:pt>
                <c:pt idx="234">
                  <c:v>157.10664335664336</c:v>
                </c:pt>
                <c:pt idx="235">
                  <c:v>152.26835664335664</c:v>
                </c:pt>
                <c:pt idx="236">
                  <c:v>154.6875</c:v>
                </c:pt>
                <c:pt idx="237">
                  <c:v>157.060546875</c:v>
                </c:pt>
                <c:pt idx="238">
                  <c:v>152.314453125</c:v>
                </c:pt>
                <c:pt idx="239">
                  <c:v>154.71036585365852</c:v>
                </c:pt>
                <c:pt idx="240">
                  <c:v>157.04268292682926</c:v>
                </c:pt>
                <c:pt idx="241">
                  <c:v>152.42378048780489</c:v>
                </c:pt>
                <c:pt idx="242">
                  <c:v>154.82581967213116</c:v>
                </c:pt>
                <c:pt idx="243">
                  <c:v>157.0389344262295</c:v>
                </c:pt>
                <c:pt idx="244">
                  <c:v>152.3360655737705</c:v>
                </c:pt>
                <c:pt idx="245">
                  <c:v>154.66666666666669</c:v>
                </c:pt>
                <c:pt idx="246">
                  <c:v>157.08333333333331</c:v>
                </c:pt>
                <c:pt idx="247">
                  <c:v>152.29166666666669</c:v>
                </c:pt>
                <c:pt idx="248">
                  <c:v>154.6875</c:v>
                </c:pt>
                <c:pt idx="249">
                  <c:v>152.27112676056339</c:v>
                </c:pt>
                <c:pt idx="250">
                  <c:v>157.10387323943661</c:v>
                </c:pt>
                <c:pt idx="251">
                  <c:v>64.6875</c:v>
                </c:pt>
                <c:pt idx="252">
                  <c:v>67.109375</c:v>
                </c:pt>
                <c:pt idx="253">
                  <c:v>62.3828125</c:v>
                </c:pt>
                <c:pt idx="254">
                  <c:v>64.6875</c:v>
                </c:pt>
                <c:pt idx="255">
                  <c:v>62.294776119402997</c:v>
                </c:pt>
                <c:pt idx="256">
                  <c:v>67.080223880597003</c:v>
                </c:pt>
                <c:pt idx="257">
                  <c:v>64.6875</c:v>
                </c:pt>
                <c:pt idx="258">
                  <c:v>62.314453125</c:v>
                </c:pt>
                <c:pt idx="259">
                  <c:v>67.060546875</c:v>
                </c:pt>
                <c:pt idx="260">
                  <c:v>64.710365853658544</c:v>
                </c:pt>
                <c:pt idx="261">
                  <c:v>67.042682926829258</c:v>
                </c:pt>
                <c:pt idx="262">
                  <c:v>62.332317073170742</c:v>
                </c:pt>
                <c:pt idx="263">
                  <c:v>64.778225806451616</c:v>
                </c:pt>
                <c:pt idx="264">
                  <c:v>67.046370967741922</c:v>
                </c:pt>
                <c:pt idx="265">
                  <c:v>62.328629032258078</c:v>
                </c:pt>
                <c:pt idx="266">
                  <c:v>64.6875</c:v>
                </c:pt>
                <c:pt idx="267">
                  <c:v>67.060546875</c:v>
                </c:pt>
                <c:pt idx="268">
                  <c:v>62.314453125</c:v>
                </c:pt>
                <c:pt idx="269">
                  <c:v>64.6875</c:v>
                </c:pt>
                <c:pt idx="270">
                  <c:v>67.073863636363654</c:v>
                </c:pt>
                <c:pt idx="271">
                  <c:v>62.301136363636346</c:v>
                </c:pt>
                <c:pt idx="272">
                  <c:v>64.707167832167841</c:v>
                </c:pt>
                <c:pt idx="273">
                  <c:v>62.26835664335664</c:v>
                </c:pt>
                <c:pt idx="274">
                  <c:v>67.10664335664336</c:v>
                </c:pt>
                <c:pt idx="275">
                  <c:v>30.9375</c:v>
                </c:pt>
                <c:pt idx="276">
                  <c:v>33.28125</c:v>
                </c:pt>
                <c:pt idx="277">
                  <c:v>28.59375</c:v>
                </c:pt>
                <c:pt idx="278">
                  <c:v>30.9375</c:v>
                </c:pt>
                <c:pt idx="279">
                  <c:v>33.28125</c:v>
                </c:pt>
                <c:pt idx="280">
                  <c:v>28.59375</c:v>
                </c:pt>
                <c:pt idx="281">
                  <c:v>47.8125</c:v>
                </c:pt>
                <c:pt idx="282">
                  <c:v>50.163934426229503</c:v>
                </c:pt>
                <c:pt idx="283">
                  <c:v>45.461065573770497</c:v>
                </c:pt>
                <c:pt idx="284">
                  <c:v>14.03925619834709</c:v>
                </c:pt>
                <c:pt idx="285">
                  <c:v>16.410123966942137</c:v>
                </c:pt>
                <c:pt idx="286">
                  <c:v>11.714876033057863</c:v>
                </c:pt>
                <c:pt idx="287">
                  <c:v>2.7928321678321595</c:v>
                </c:pt>
                <c:pt idx="288">
                  <c:v>5.2316433566433886</c:v>
                </c:pt>
                <c:pt idx="289">
                  <c:v>0.39335664335661136</c:v>
                </c:pt>
                <c:pt idx="290">
                  <c:v>2.7916666666666572</c:v>
                </c:pt>
                <c:pt idx="291">
                  <c:v>5.2083333333333144</c:v>
                </c:pt>
                <c:pt idx="292">
                  <c:v>0.41666666666668561</c:v>
                </c:pt>
                <c:pt idx="293">
                  <c:v>2.7906976744185954</c:v>
                </c:pt>
                <c:pt idx="294">
                  <c:v>5.1889534883721069</c:v>
                </c:pt>
                <c:pt idx="295">
                  <c:v>0.4360465116278931</c:v>
                </c:pt>
                <c:pt idx="296">
                  <c:v>3.0561023622047117</c:v>
                </c:pt>
                <c:pt idx="297">
                  <c:v>5.1820866141732154</c:v>
                </c:pt>
                <c:pt idx="298">
                  <c:v>0.44291338582678463</c:v>
                </c:pt>
                <c:pt idx="299">
                  <c:v>2.8125</c:v>
                </c:pt>
                <c:pt idx="300">
                  <c:v>5.163934426229531</c:v>
                </c:pt>
                <c:pt idx="301">
                  <c:v>0.46106557377046897</c:v>
                </c:pt>
                <c:pt idx="302">
                  <c:v>2.7900000000000205</c:v>
                </c:pt>
                <c:pt idx="303">
                  <c:v>0.44999999999998863</c:v>
                </c:pt>
                <c:pt idx="304">
                  <c:v>5.1750000000000114</c:v>
                </c:pt>
                <c:pt idx="305">
                  <c:v>2.7906976744185954</c:v>
                </c:pt>
                <c:pt idx="306">
                  <c:v>5.1889534883721069</c:v>
                </c:pt>
                <c:pt idx="307">
                  <c:v>0.4360465116278931</c:v>
                </c:pt>
                <c:pt idx="308">
                  <c:v>2.8125</c:v>
                </c:pt>
                <c:pt idx="309">
                  <c:v>5.2113970588235361</c:v>
                </c:pt>
                <c:pt idx="310">
                  <c:v>0.4136029411764639</c:v>
                </c:pt>
                <c:pt idx="311">
                  <c:v>2.8125</c:v>
                </c:pt>
                <c:pt idx="312">
                  <c:v>0.390625</c:v>
                </c:pt>
                <c:pt idx="313">
                  <c:v>5.234375</c:v>
                </c:pt>
              </c:numCache>
            </c:numRef>
          </c:xVal>
          <c:yVal>
            <c:numRef>
              <c:f>Results!$O$2:$O$315</c:f>
              <c:numCache>
                <c:formatCode>General</c:formatCode>
                <c:ptCount val="314"/>
                <c:pt idx="0">
                  <c:v>7.0000000000000007E-2</c:v>
                </c:pt>
                <c:pt idx="1">
                  <c:v>7.5999999999999998E-2</c:v>
                </c:pt>
                <c:pt idx="2">
                  <c:v>0.34799999999999998</c:v>
                </c:pt>
                <c:pt idx="3">
                  <c:v>0.30499999999999999</c:v>
                </c:pt>
                <c:pt idx="4">
                  <c:v>0.20200000000000001</c:v>
                </c:pt>
                <c:pt idx="5">
                  <c:v>0.26200000000000001</c:v>
                </c:pt>
                <c:pt idx="6">
                  <c:v>6.9000000000000006E-2</c:v>
                </c:pt>
                <c:pt idx="7">
                  <c:v>0.25700000000000001</c:v>
                </c:pt>
                <c:pt idx="8">
                  <c:v>6.0999999999999999E-2</c:v>
                </c:pt>
                <c:pt idx="9">
                  <c:v>0.12</c:v>
                </c:pt>
                <c:pt idx="10">
                  <c:v>0.29099999999999998</c:v>
                </c:pt>
                <c:pt idx="11">
                  <c:v>0.26</c:v>
                </c:pt>
                <c:pt idx="12">
                  <c:v>0.19600000000000001</c:v>
                </c:pt>
                <c:pt idx="13">
                  <c:v>0.24</c:v>
                </c:pt>
                <c:pt idx="14">
                  <c:v>0.38500000000000001</c:v>
                </c:pt>
                <c:pt idx="15">
                  <c:v>0.21199999999999999</c:v>
                </c:pt>
                <c:pt idx="16">
                  <c:v>0.16800000000000001</c:v>
                </c:pt>
                <c:pt idx="17">
                  <c:v>0.224</c:v>
                </c:pt>
                <c:pt idx="18">
                  <c:v>0.56699999999999995</c:v>
                </c:pt>
                <c:pt idx="19">
                  <c:v>0.36399999999999999</c:v>
                </c:pt>
                <c:pt idx="20">
                  <c:v>7.4999999999999997E-2</c:v>
                </c:pt>
                <c:pt idx="21">
                  <c:v>0.36899999999999999</c:v>
                </c:pt>
                <c:pt idx="22">
                  <c:v>0.45</c:v>
                </c:pt>
                <c:pt idx="23">
                  <c:v>4.9000000000000002E-2</c:v>
                </c:pt>
                <c:pt idx="24">
                  <c:v>0.35</c:v>
                </c:pt>
                <c:pt idx="25">
                  <c:v>0.32500000000000001</c:v>
                </c:pt>
                <c:pt idx="26">
                  <c:v>0.36599999999999999</c:v>
                </c:pt>
                <c:pt idx="27">
                  <c:v>0.46899999999999997</c:v>
                </c:pt>
                <c:pt idx="28">
                  <c:v>0.216</c:v>
                </c:pt>
                <c:pt idx="29">
                  <c:v>0.215</c:v>
                </c:pt>
                <c:pt idx="30">
                  <c:v>0.32</c:v>
                </c:pt>
                <c:pt idx="31">
                  <c:v>0.13800000000000001</c:v>
                </c:pt>
                <c:pt idx="32">
                  <c:v>0.13200000000000001</c:v>
                </c:pt>
                <c:pt idx="33">
                  <c:v>0.08</c:v>
                </c:pt>
                <c:pt idx="34">
                  <c:v>0.48199999999999998</c:v>
                </c:pt>
                <c:pt idx="35">
                  <c:v>0.375</c:v>
                </c:pt>
                <c:pt idx="36">
                  <c:v>0.39400000000000002</c:v>
                </c:pt>
                <c:pt idx="37">
                  <c:v>0.23799999999999999</c:v>
                </c:pt>
                <c:pt idx="38">
                  <c:v>0.54900000000000004</c:v>
                </c:pt>
                <c:pt idx="39">
                  <c:v>0.496</c:v>
                </c:pt>
                <c:pt idx="40">
                  <c:v>0.34200000000000003</c:v>
                </c:pt>
                <c:pt idx="41">
                  <c:v>0.33</c:v>
                </c:pt>
                <c:pt idx="42">
                  <c:v>0.25800000000000001</c:v>
                </c:pt>
                <c:pt idx="43">
                  <c:v>0.13800000000000001</c:v>
                </c:pt>
                <c:pt idx="44">
                  <c:v>0.128</c:v>
                </c:pt>
                <c:pt idx="45">
                  <c:v>0.06</c:v>
                </c:pt>
                <c:pt idx="46">
                  <c:v>0.96199999999999997</c:v>
                </c:pt>
                <c:pt idx="47">
                  <c:v>7.4999999999999997E-2</c:v>
                </c:pt>
                <c:pt idx="48">
                  <c:v>0.10199999999999999</c:v>
                </c:pt>
                <c:pt idx="49">
                  <c:v>0.15</c:v>
                </c:pt>
                <c:pt idx="50">
                  <c:v>0.16600000000000001</c:v>
                </c:pt>
                <c:pt idx="51">
                  <c:v>0.36</c:v>
                </c:pt>
                <c:pt idx="52">
                  <c:v>0.27</c:v>
                </c:pt>
                <c:pt idx="53">
                  <c:v>0.20300000000000001</c:v>
                </c:pt>
                <c:pt idx="54">
                  <c:v>0.152</c:v>
                </c:pt>
                <c:pt idx="55">
                  <c:v>0.53</c:v>
                </c:pt>
                <c:pt idx="56">
                  <c:v>0.255</c:v>
                </c:pt>
                <c:pt idx="57">
                  <c:v>0.22600000000000001</c:v>
                </c:pt>
                <c:pt idx="58">
                  <c:v>0.152</c:v>
                </c:pt>
                <c:pt idx="59">
                  <c:v>0.13800000000000001</c:v>
                </c:pt>
                <c:pt idx="60">
                  <c:v>0.26100000000000001</c:v>
                </c:pt>
                <c:pt idx="61">
                  <c:v>0.14299999999999999</c:v>
                </c:pt>
                <c:pt idx="62">
                  <c:v>0.19</c:v>
                </c:pt>
                <c:pt idx="63">
                  <c:v>0.187</c:v>
                </c:pt>
                <c:pt idx="64">
                  <c:v>0.15</c:v>
                </c:pt>
                <c:pt idx="65">
                  <c:v>0</c:v>
                </c:pt>
                <c:pt idx="66">
                  <c:v>4.3999999999999997E-2</c:v>
                </c:pt>
                <c:pt idx="67">
                  <c:v>0.13500000000000001</c:v>
                </c:pt>
                <c:pt idx="68">
                  <c:v>0.252</c:v>
                </c:pt>
                <c:pt idx="69">
                  <c:v>5.3999999999999999E-2</c:v>
                </c:pt>
                <c:pt idx="70">
                  <c:v>6.3E-2</c:v>
                </c:pt>
                <c:pt idx="71">
                  <c:v>7.1999999999999995E-2</c:v>
                </c:pt>
                <c:pt idx="72">
                  <c:v>6.9000000000000006E-2</c:v>
                </c:pt>
                <c:pt idx="73">
                  <c:v>7.1999999999999995E-2</c:v>
                </c:pt>
                <c:pt idx="74">
                  <c:v>0.12</c:v>
                </c:pt>
                <c:pt idx="75">
                  <c:v>7.8E-2</c:v>
                </c:pt>
                <c:pt idx="76">
                  <c:v>0.14000000000000001</c:v>
                </c:pt>
                <c:pt idx="77">
                  <c:v>0.27200000000000002</c:v>
                </c:pt>
                <c:pt idx="78">
                  <c:v>0.192</c:v>
                </c:pt>
                <c:pt idx="79">
                  <c:v>0.13200000000000001</c:v>
                </c:pt>
                <c:pt idx="80">
                  <c:v>0.318</c:v>
                </c:pt>
                <c:pt idx="81">
                  <c:v>8.1000000000000003E-2</c:v>
                </c:pt>
                <c:pt idx="82">
                  <c:v>5.5E-2</c:v>
                </c:pt>
                <c:pt idx="83">
                  <c:v>0.33500000000000002</c:v>
                </c:pt>
                <c:pt idx="84">
                  <c:v>9.2999999999999999E-2</c:v>
                </c:pt>
                <c:pt idx="85">
                  <c:v>5.2999999999999999E-2</c:v>
                </c:pt>
                <c:pt idx="86">
                  <c:v>0.182</c:v>
                </c:pt>
                <c:pt idx="87">
                  <c:v>0.151</c:v>
                </c:pt>
                <c:pt idx="88">
                  <c:v>0</c:v>
                </c:pt>
                <c:pt idx="89">
                  <c:v>4.2000000000000003E-2</c:v>
                </c:pt>
                <c:pt idx="90">
                  <c:v>0</c:v>
                </c:pt>
                <c:pt idx="91">
                  <c:v>0.33300000000000002</c:v>
                </c:pt>
                <c:pt idx="92">
                  <c:v>0.17399999999999999</c:v>
                </c:pt>
                <c:pt idx="93">
                  <c:v>0.16700000000000001</c:v>
                </c:pt>
                <c:pt idx="94">
                  <c:v>0.14000000000000001</c:v>
                </c:pt>
                <c:pt idx="95">
                  <c:v>0.193</c:v>
                </c:pt>
                <c:pt idx="96">
                  <c:v>0.24</c:v>
                </c:pt>
                <c:pt idx="97">
                  <c:v>0.23799999999999999</c:v>
                </c:pt>
                <c:pt idx="98">
                  <c:v>0.435</c:v>
                </c:pt>
                <c:pt idx="99">
                  <c:v>0.27</c:v>
                </c:pt>
                <c:pt idx="100">
                  <c:v>0.159</c:v>
                </c:pt>
                <c:pt idx="101">
                  <c:v>0.184</c:v>
                </c:pt>
                <c:pt idx="102">
                  <c:v>0.22800000000000001</c:v>
                </c:pt>
                <c:pt idx="103">
                  <c:v>0.252</c:v>
                </c:pt>
                <c:pt idx="104">
                  <c:v>0.26600000000000001</c:v>
                </c:pt>
                <c:pt idx="105">
                  <c:v>0.26800000000000002</c:v>
                </c:pt>
                <c:pt idx="106">
                  <c:v>0.34</c:v>
                </c:pt>
                <c:pt idx="107">
                  <c:v>0.35699999999999998</c:v>
                </c:pt>
                <c:pt idx="108">
                  <c:v>0.17699999999999999</c:v>
                </c:pt>
                <c:pt idx="109">
                  <c:v>0.64400000000000002</c:v>
                </c:pt>
                <c:pt idx="110">
                  <c:v>0.192</c:v>
                </c:pt>
                <c:pt idx="111">
                  <c:v>0.187</c:v>
                </c:pt>
                <c:pt idx="112">
                  <c:v>0.222</c:v>
                </c:pt>
                <c:pt idx="113">
                  <c:v>0.46200000000000002</c:v>
                </c:pt>
                <c:pt idx="114">
                  <c:v>0.35</c:v>
                </c:pt>
                <c:pt idx="115">
                  <c:v>0.14099999999999999</c:v>
                </c:pt>
                <c:pt idx="116">
                  <c:v>0.56999999999999995</c:v>
                </c:pt>
                <c:pt idx="117">
                  <c:v>0.24</c:v>
                </c:pt>
                <c:pt idx="118">
                  <c:v>0.16900000000000001</c:v>
                </c:pt>
                <c:pt idx="119">
                  <c:v>0.61</c:v>
                </c:pt>
                <c:pt idx="120">
                  <c:v>0.46200000000000002</c:v>
                </c:pt>
                <c:pt idx="121">
                  <c:v>0.26300000000000001</c:v>
                </c:pt>
                <c:pt idx="122">
                  <c:v>1.161</c:v>
                </c:pt>
                <c:pt idx="123">
                  <c:v>0.72</c:v>
                </c:pt>
                <c:pt idx="124">
                  <c:v>0.82399999999999995</c:v>
                </c:pt>
                <c:pt idx="125">
                  <c:v>0.68600000000000005</c:v>
                </c:pt>
                <c:pt idx="126">
                  <c:v>0.66900000000000004</c:v>
                </c:pt>
                <c:pt idx="127">
                  <c:v>0.74</c:v>
                </c:pt>
                <c:pt idx="128">
                  <c:v>0.83699999999999997</c:v>
                </c:pt>
                <c:pt idx="129">
                  <c:v>0.91800000000000004</c:v>
                </c:pt>
                <c:pt idx="130">
                  <c:v>0.65</c:v>
                </c:pt>
                <c:pt idx="131">
                  <c:v>0.188</c:v>
                </c:pt>
                <c:pt idx="132">
                  <c:v>0.40899999999999997</c:v>
                </c:pt>
                <c:pt idx="133">
                  <c:v>0.245</c:v>
                </c:pt>
                <c:pt idx="134">
                  <c:v>0.38900000000000001</c:v>
                </c:pt>
                <c:pt idx="135">
                  <c:v>1.0880000000000001</c:v>
                </c:pt>
                <c:pt idx="136">
                  <c:v>1.651</c:v>
                </c:pt>
                <c:pt idx="137">
                  <c:v>0.28000000000000003</c:v>
                </c:pt>
                <c:pt idx="138">
                  <c:v>1.079</c:v>
                </c:pt>
                <c:pt idx="139">
                  <c:v>0.71399999999999997</c:v>
                </c:pt>
                <c:pt idx="140">
                  <c:v>0.7</c:v>
                </c:pt>
                <c:pt idx="141">
                  <c:v>0.80500000000000005</c:v>
                </c:pt>
                <c:pt idx="142">
                  <c:v>0.91700000000000004</c:v>
                </c:pt>
                <c:pt idx="143">
                  <c:v>0.46500000000000002</c:v>
                </c:pt>
                <c:pt idx="144">
                  <c:v>0.57199999999999995</c:v>
                </c:pt>
                <c:pt idx="145">
                  <c:v>0.189</c:v>
                </c:pt>
                <c:pt idx="146">
                  <c:v>0.56100000000000005</c:v>
                </c:pt>
                <c:pt idx="147">
                  <c:v>0.216</c:v>
                </c:pt>
                <c:pt idx="148">
                  <c:v>1.157</c:v>
                </c:pt>
                <c:pt idx="149">
                  <c:v>0.60799999999999998</c:v>
                </c:pt>
                <c:pt idx="150">
                  <c:v>0.312</c:v>
                </c:pt>
                <c:pt idx="151">
                  <c:v>0.33700000000000002</c:v>
                </c:pt>
                <c:pt idx="152">
                  <c:v>0.14000000000000001</c:v>
                </c:pt>
                <c:pt idx="153">
                  <c:v>0.23699999999999999</c:v>
                </c:pt>
                <c:pt idx="154">
                  <c:v>0.22800000000000001</c:v>
                </c:pt>
                <c:pt idx="155">
                  <c:v>0.123</c:v>
                </c:pt>
                <c:pt idx="156">
                  <c:v>0.20499999999999999</c:v>
                </c:pt>
                <c:pt idx="157">
                  <c:v>0.156</c:v>
                </c:pt>
                <c:pt idx="158">
                  <c:v>0.08</c:v>
                </c:pt>
                <c:pt idx="159">
                  <c:v>0.185</c:v>
                </c:pt>
                <c:pt idx="160">
                  <c:v>0.13300000000000001</c:v>
                </c:pt>
                <c:pt idx="161">
                  <c:v>0.11</c:v>
                </c:pt>
                <c:pt idx="162">
                  <c:v>0.35899999999999999</c:v>
                </c:pt>
                <c:pt idx="163">
                  <c:v>0.13900000000000001</c:v>
                </c:pt>
                <c:pt idx="164">
                  <c:v>0.18</c:v>
                </c:pt>
                <c:pt idx="165">
                  <c:v>0.31900000000000001</c:v>
                </c:pt>
                <c:pt idx="166">
                  <c:v>8.3000000000000004E-2</c:v>
                </c:pt>
                <c:pt idx="167">
                  <c:v>0.434</c:v>
                </c:pt>
                <c:pt idx="168">
                  <c:v>0.33500000000000002</c:v>
                </c:pt>
                <c:pt idx="169">
                  <c:v>0.17399999999999999</c:v>
                </c:pt>
                <c:pt idx="170">
                  <c:v>0.36299999999999999</c:v>
                </c:pt>
                <c:pt idx="171">
                  <c:v>1.0069999999999999</c:v>
                </c:pt>
                <c:pt idx="172">
                  <c:v>1.1060000000000001</c:v>
                </c:pt>
                <c:pt idx="173">
                  <c:v>1.1439999999999999</c:v>
                </c:pt>
                <c:pt idx="174">
                  <c:v>0.123</c:v>
                </c:pt>
                <c:pt idx="175">
                  <c:v>0.217</c:v>
                </c:pt>
                <c:pt idx="176">
                  <c:v>0.307</c:v>
                </c:pt>
                <c:pt idx="177">
                  <c:v>7.0000000000000007E-2</c:v>
                </c:pt>
                <c:pt idx="178">
                  <c:v>0.192</c:v>
                </c:pt>
                <c:pt idx="179">
                  <c:v>0.17</c:v>
                </c:pt>
                <c:pt idx="180">
                  <c:v>0.16500000000000001</c:v>
                </c:pt>
                <c:pt idx="181">
                  <c:v>0.223</c:v>
                </c:pt>
                <c:pt idx="182">
                  <c:v>0.38200000000000001</c:v>
                </c:pt>
                <c:pt idx="183">
                  <c:v>0.437</c:v>
                </c:pt>
                <c:pt idx="184">
                  <c:v>0.13100000000000001</c:v>
                </c:pt>
                <c:pt idx="185">
                  <c:v>0.14799999999999999</c:v>
                </c:pt>
                <c:pt idx="186">
                  <c:v>0.161</c:v>
                </c:pt>
                <c:pt idx="187">
                  <c:v>0.158</c:v>
                </c:pt>
                <c:pt idx="188">
                  <c:v>0.245</c:v>
                </c:pt>
                <c:pt idx="189">
                  <c:v>0.186</c:v>
                </c:pt>
                <c:pt idx="190">
                  <c:v>8.1000000000000003E-2</c:v>
                </c:pt>
                <c:pt idx="191">
                  <c:v>0.108</c:v>
                </c:pt>
                <c:pt idx="192">
                  <c:v>0.16600000000000001</c:v>
                </c:pt>
                <c:pt idx="193">
                  <c:v>0.13200000000000001</c:v>
                </c:pt>
                <c:pt idx="194">
                  <c:v>0.17399999999999999</c:v>
                </c:pt>
                <c:pt idx="195">
                  <c:v>0.28899999999999998</c:v>
                </c:pt>
                <c:pt idx="196">
                  <c:v>0.06</c:v>
                </c:pt>
                <c:pt idx="197">
                  <c:v>0.107</c:v>
                </c:pt>
                <c:pt idx="198">
                  <c:v>0.06</c:v>
                </c:pt>
                <c:pt idx="199">
                  <c:v>0.11799999999999999</c:v>
                </c:pt>
                <c:pt idx="200">
                  <c:v>1.7999999999999999E-2</c:v>
                </c:pt>
                <c:pt idx="201">
                  <c:v>0.13900000000000001</c:v>
                </c:pt>
                <c:pt idx="202">
                  <c:v>8.5999999999999993E-2</c:v>
                </c:pt>
                <c:pt idx="203">
                  <c:v>0.157</c:v>
                </c:pt>
                <c:pt idx="204">
                  <c:v>0.154</c:v>
                </c:pt>
                <c:pt idx="205">
                  <c:v>0.111</c:v>
                </c:pt>
                <c:pt idx="206">
                  <c:v>0.107</c:v>
                </c:pt>
                <c:pt idx="207">
                  <c:v>0.124</c:v>
                </c:pt>
                <c:pt idx="208">
                  <c:v>7.8E-2</c:v>
                </c:pt>
                <c:pt idx="209">
                  <c:v>0.05</c:v>
                </c:pt>
                <c:pt idx="210">
                  <c:v>9.8000000000000004E-2</c:v>
                </c:pt>
                <c:pt idx="211">
                  <c:v>7.1999999999999995E-2</c:v>
                </c:pt>
                <c:pt idx="212">
                  <c:v>6.9000000000000006E-2</c:v>
                </c:pt>
                <c:pt idx="213">
                  <c:v>6.9000000000000006E-2</c:v>
                </c:pt>
                <c:pt idx="214">
                  <c:v>6.3E-2</c:v>
                </c:pt>
                <c:pt idx="215">
                  <c:v>3.9E-2</c:v>
                </c:pt>
                <c:pt idx="216">
                  <c:v>3.7999999999999999E-2</c:v>
                </c:pt>
                <c:pt idx="217">
                  <c:v>5.0999999999999997E-2</c:v>
                </c:pt>
                <c:pt idx="218">
                  <c:v>3.5999999999999997E-2</c:v>
                </c:pt>
                <c:pt idx="219">
                  <c:v>0.123</c:v>
                </c:pt>
                <c:pt idx="220">
                  <c:v>0.114</c:v>
                </c:pt>
                <c:pt idx="221">
                  <c:v>0.16400000000000001</c:v>
                </c:pt>
                <c:pt idx="222">
                  <c:v>0.124</c:v>
                </c:pt>
                <c:pt idx="223">
                  <c:v>0.02</c:v>
                </c:pt>
                <c:pt idx="224">
                  <c:v>6.7000000000000004E-2</c:v>
                </c:pt>
                <c:pt idx="225">
                  <c:v>6.7000000000000004E-2</c:v>
                </c:pt>
                <c:pt idx="226">
                  <c:v>0.16600000000000001</c:v>
                </c:pt>
                <c:pt idx="227">
                  <c:v>5.5E-2</c:v>
                </c:pt>
                <c:pt idx="228">
                  <c:v>0.08</c:v>
                </c:pt>
                <c:pt idx="229">
                  <c:v>7.2999999999999995E-2</c:v>
                </c:pt>
                <c:pt idx="230">
                  <c:v>0.155</c:v>
                </c:pt>
                <c:pt idx="231">
                  <c:v>0.11700000000000001</c:v>
                </c:pt>
                <c:pt idx="232">
                  <c:v>6.2E-2</c:v>
                </c:pt>
                <c:pt idx="233">
                  <c:v>0.17599999999999999</c:v>
                </c:pt>
                <c:pt idx="234">
                  <c:v>0.17599999999999999</c:v>
                </c:pt>
                <c:pt idx="235">
                  <c:v>0.124</c:v>
                </c:pt>
                <c:pt idx="236">
                  <c:v>8.5999999999999993E-2</c:v>
                </c:pt>
                <c:pt idx="237">
                  <c:v>6.7000000000000004E-2</c:v>
                </c:pt>
                <c:pt idx="238">
                  <c:v>8.8999999999999996E-2</c:v>
                </c:pt>
                <c:pt idx="239">
                  <c:v>0.13300000000000001</c:v>
                </c:pt>
                <c:pt idx="240">
                  <c:v>0.10100000000000001</c:v>
                </c:pt>
                <c:pt idx="241">
                  <c:v>7.2999999999999995E-2</c:v>
                </c:pt>
                <c:pt idx="242">
                  <c:v>0.25600000000000001</c:v>
                </c:pt>
                <c:pt idx="243">
                  <c:v>7.2999999999999995E-2</c:v>
                </c:pt>
                <c:pt idx="244">
                  <c:v>7.3999999999999996E-2</c:v>
                </c:pt>
                <c:pt idx="245">
                  <c:v>0.34599999999999997</c:v>
                </c:pt>
                <c:pt idx="246">
                  <c:v>0.17</c:v>
                </c:pt>
                <c:pt idx="247">
                  <c:v>0.54</c:v>
                </c:pt>
                <c:pt idx="248">
                  <c:v>0.32</c:v>
                </c:pt>
                <c:pt idx="249">
                  <c:v>0.14000000000000001</c:v>
                </c:pt>
                <c:pt idx="250">
                  <c:v>9.0999999999999998E-2</c:v>
                </c:pt>
                <c:pt idx="251">
                  <c:v>0.29899999999999999</c:v>
                </c:pt>
                <c:pt idx="252">
                  <c:v>0.25600000000000001</c:v>
                </c:pt>
                <c:pt idx="253">
                  <c:v>0.65900000000000003</c:v>
                </c:pt>
                <c:pt idx="254">
                  <c:v>0.12</c:v>
                </c:pt>
                <c:pt idx="255">
                  <c:v>0.45600000000000002</c:v>
                </c:pt>
                <c:pt idx="256">
                  <c:v>0.17299999999999999</c:v>
                </c:pt>
                <c:pt idx="257">
                  <c:v>0.155</c:v>
                </c:pt>
                <c:pt idx="258">
                  <c:v>0.182</c:v>
                </c:pt>
                <c:pt idx="259">
                  <c:v>0.151</c:v>
                </c:pt>
                <c:pt idx="260">
                  <c:v>0.188</c:v>
                </c:pt>
                <c:pt idx="261">
                  <c:v>0.221</c:v>
                </c:pt>
                <c:pt idx="262">
                  <c:v>0.22900000000000001</c:v>
                </c:pt>
                <c:pt idx="263">
                  <c:v>0.17899999999999999</c:v>
                </c:pt>
                <c:pt idx="264">
                  <c:v>0.23599999999999999</c:v>
                </c:pt>
                <c:pt idx="265">
                  <c:v>0.182</c:v>
                </c:pt>
                <c:pt idx="266">
                  <c:v>0.112</c:v>
                </c:pt>
                <c:pt idx="267">
                  <c:v>0.112</c:v>
                </c:pt>
                <c:pt idx="268">
                  <c:v>0.14199999999999999</c:v>
                </c:pt>
                <c:pt idx="269">
                  <c:v>0.29399999999999998</c:v>
                </c:pt>
                <c:pt idx="270">
                  <c:v>0.25900000000000001</c:v>
                </c:pt>
                <c:pt idx="271">
                  <c:v>0.25900000000000001</c:v>
                </c:pt>
                <c:pt idx="272">
                  <c:v>0.56399999999999995</c:v>
                </c:pt>
                <c:pt idx="273">
                  <c:v>0.26900000000000002</c:v>
                </c:pt>
                <c:pt idx="274">
                  <c:v>0.875</c:v>
                </c:pt>
                <c:pt idx="275">
                  <c:v>0.23100000000000001</c:v>
                </c:pt>
                <c:pt idx="276">
                  <c:v>0.25</c:v>
                </c:pt>
                <c:pt idx="277">
                  <c:v>0.126</c:v>
                </c:pt>
                <c:pt idx="278">
                  <c:v>0.122</c:v>
                </c:pt>
                <c:pt idx="279">
                  <c:v>0.13</c:v>
                </c:pt>
                <c:pt idx="280">
                  <c:v>6.4000000000000001E-2</c:v>
                </c:pt>
                <c:pt idx="281" formatCode="0.000">
                  <c:v>0.16263157894736843</c:v>
                </c:pt>
                <c:pt idx="282" formatCode="0.000">
                  <c:v>0.18473684210526314</c:v>
                </c:pt>
                <c:pt idx="283" formatCode="0.000">
                  <c:v>0.13210526315789475</c:v>
                </c:pt>
                <c:pt idx="284" formatCode="0.000">
                  <c:v>0.78578947368421059</c:v>
                </c:pt>
                <c:pt idx="285" formatCode="0.000">
                  <c:v>0.34947368421052633</c:v>
                </c:pt>
                <c:pt idx="286" formatCode="0.000">
                  <c:v>0.72526315789473683</c:v>
                </c:pt>
                <c:pt idx="287">
                  <c:v>2.4430000000000001</c:v>
                </c:pt>
                <c:pt idx="288">
                  <c:v>0.91300000000000003</c:v>
                </c:pt>
                <c:pt idx="289">
                  <c:v>1.899</c:v>
                </c:pt>
                <c:pt idx="290">
                  <c:v>0.34899999999999998</c:v>
                </c:pt>
                <c:pt idx="291">
                  <c:v>0.66100000000000003</c:v>
                </c:pt>
                <c:pt idx="292">
                  <c:v>1.026</c:v>
                </c:pt>
                <c:pt idx="293">
                  <c:v>0.435</c:v>
                </c:pt>
                <c:pt idx="294">
                  <c:v>0.46200000000000002</c:v>
                </c:pt>
                <c:pt idx="295">
                  <c:v>0.34</c:v>
                </c:pt>
                <c:pt idx="296">
                  <c:v>0.36899999999999999</c:v>
                </c:pt>
                <c:pt idx="297">
                  <c:v>0.39800000000000002</c:v>
                </c:pt>
                <c:pt idx="298">
                  <c:v>0.55200000000000005</c:v>
                </c:pt>
                <c:pt idx="299">
                  <c:v>0.57199999999999995</c:v>
                </c:pt>
                <c:pt idx="300">
                  <c:v>0.26300000000000001</c:v>
                </c:pt>
                <c:pt idx="301">
                  <c:v>0.48699999999999999</c:v>
                </c:pt>
                <c:pt idx="302">
                  <c:v>1.427</c:v>
                </c:pt>
                <c:pt idx="303">
                  <c:v>0.32100000000000001</c:v>
                </c:pt>
                <c:pt idx="304">
                  <c:v>0.30299999999999999</c:v>
                </c:pt>
                <c:pt idx="305">
                  <c:v>0.996</c:v>
                </c:pt>
                <c:pt idx="306">
                  <c:v>0.30599999999999999</c:v>
                </c:pt>
                <c:pt idx="307">
                  <c:v>0.88300000000000001</c:v>
                </c:pt>
                <c:pt idx="308">
                  <c:v>2.875</c:v>
                </c:pt>
                <c:pt idx="309">
                  <c:v>0.52600000000000002</c:v>
                </c:pt>
                <c:pt idx="310">
                  <c:v>1.327</c:v>
                </c:pt>
                <c:pt idx="311">
                  <c:v>4.67</c:v>
                </c:pt>
                <c:pt idx="312">
                  <c:v>1.01</c:v>
                </c:pt>
                <c:pt idx="313">
                  <c:v>3.5470000000000002</c:v>
                </c:pt>
              </c:numCache>
            </c:numRef>
          </c:yVal>
          <c:smooth val="0"/>
        </c:ser>
        <c:ser>
          <c:idx val="1"/>
          <c:order val="1"/>
          <c:tx>
            <c:v>Mo toroidally (weighted)</c:v>
          </c:tx>
          <c:spPr>
            <a:ln w="28575">
              <a:solidFill>
                <a:srgbClr val="C00000"/>
              </a:solidFill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Results!$AH$2:$AH$313</c:f>
              <c:numCache>
                <c:formatCode>General</c:formatCode>
                <c:ptCount val="312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Results!$AF$2:$AF$313</c:f>
              <c:numCache>
                <c:formatCode>General</c:formatCode>
                <c:ptCount val="312"/>
                <c:pt idx="0">
                  <c:v>0.11559999999999998</c:v>
                </c:pt>
                <c:pt idx="3">
                  <c:v>0.21014999999999998</c:v>
                </c:pt>
                <c:pt idx="6">
                  <c:v>0.2084</c:v>
                </c:pt>
                <c:pt idx="9">
                  <c:v>0.22139999999999996</c:v>
                </c:pt>
                <c:pt idx="14">
                  <c:v>0.22270000000000001</c:v>
                </c:pt>
                <c:pt idx="17">
                  <c:v>0.51239999999999997</c:v>
                </c:pt>
                <c:pt idx="20">
                  <c:v>0.34769999999999995</c:v>
                </c:pt>
                <c:pt idx="23">
                  <c:v>0.31180000000000002</c:v>
                </c:pt>
                <c:pt idx="28">
                  <c:v>0.23085</c:v>
                </c:pt>
                <c:pt idx="31">
                  <c:v>0.12740000000000001</c:v>
                </c:pt>
                <c:pt idx="34">
                  <c:v>0.3876</c:v>
                </c:pt>
                <c:pt idx="37">
                  <c:v>0.3688333333333334</c:v>
                </c:pt>
                <c:pt idx="43">
                  <c:v>0.12560000000000002</c:v>
                </c:pt>
                <c:pt idx="46">
                  <c:v>0.2094</c:v>
                </c:pt>
                <c:pt idx="49">
                  <c:v>0.1741</c:v>
                </c:pt>
                <c:pt idx="52">
                  <c:v>0.2046</c:v>
                </c:pt>
                <c:pt idx="55">
                  <c:v>0.27960000000000002</c:v>
                </c:pt>
                <c:pt idx="58">
                  <c:v>0.14554999999999998</c:v>
                </c:pt>
                <c:pt idx="61">
                  <c:v>0.185</c:v>
                </c:pt>
                <c:pt idx="64">
                  <c:v>1.9400000000000001E-2</c:v>
                </c:pt>
                <c:pt idx="67">
                  <c:v>0.21869999999999998</c:v>
                </c:pt>
                <c:pt idx="70">
                  <c:v>7.0349999999999996E-2</c:v>
                </c:pt>
                <c:pt idx="73">
                  <c:v>0.111</c:v>
                </c:pt>
                <c:pt idx="76">
                  <c:v>0.24420000000000003</c:v>
                </c:pt>
                <c:pt idx="79">
                  <c:v>0.2571</c:v>
                </c:pt>
                <c:pt idx="82">
                  <c:v>0.26690000000000003</c:v>
                </c:pt>
                <c:pt idx="85">
                  <c:v>0.14019999999999999</c:v>
                </c:pt>
                <c:pt idx="88">
                  <c:v>2.9400000000000003E-2</c:v>
                </c:pt>
                <c:pt idx="91">
                  <c:v>0.20783333333333334</c:v>
                </c:pt>
                <c:pt idx="97">
                  <c:v>0.39880000000000004</c:v>
                </c:pt>
                <c:pt idx="100">
                  <c:v>0.22616666666666671</c:v>
                </c:pt>
                <c:pt idx="106">
                  <c:v>0.31929999999999997</c:v>
                </c:pt>
                <c:pt idx="109">
                  <c:v>0.23569999999999999</c:v>
                </c:pt>
                <c:pt idx="112">
                  <c:v>0.312</c:v>
                </c:pt>
                <c:pt idx="119">
                  <c:v>0.3574</c:v>
                </c:pt>
                <c:pt idx="122">
                  <c:v>0.82899999999999996</c:v>
                </c:pt>
                <c:pt idx="125">
                  <c:v>0.75</c:v>
                </c:pt>
                <c:pt idx="131">
                  <c:v>0.29385</c:v>
                </c:pt>
                <c:pt idx="134">
                  <c:v>1.0744</c:v>
                </c:pt>
                <c:pt idx="137">
                  <c:v>0.9625999999999999</c:v>
                </c:pt>
                <c:pt idx="140">
                  <c:v>0.80570000000000008</c:v>
                </c:pt>
                <c:pt idx="143">
                  <c:v>0.50385000000000002</c:v>
                </c:pt>
                <c:pt idx="146">
                  <c:v>0.46850000000000003</c:v>
                </c:pt>
                <c:pt idx="149">
                  <c:v>0.33305000000000001</c:v>
                </c:pt>
                <c:pt idx="152">
                  <c:v>0.23079999999999998</c:v>
                </c:pt>
                <c:pt idx="155">
                  <c:v>0.19435000000000002</c:v>
                </c:pt>
                <c:pt idx="158">
                  <c:v>0.17189999999999997</c:v>
                </c:pt>
                <c:pt idx="161">
                  <c:v>0.31209999999999999</c:v>
                </c:pt>
                <c:pt idx="164">
                  <c:v>0.28149999999999997</c:v>
                </c:pt>
                <c:pt idx="167">
                  <c:v>0.32880000000000004</c:v>
                </c:pt>
                <c:pt idx="170">
                  <c:v>0.36299999999999999</c:v>
                </c:pt>
                <c:pt idx="171">
                  <c:v>1.0937999999999999</c:v>
                </c:pt>
                <c:pt idx="174">
                  <c:v>0.21660000000000001</c:v>
                </c:pt>
                <c:pt idx="177">
                  <c:v>0.1837</c:v>
                </c:pt>
                <c:pt idx="180">
                  <c:v>0.30235000000000001</c:v>
                </c:pt>
                <c:pt idx="184">
                  <c:v>0.17150000000000001</c:v>
                </c:pt>
                <c:pt idx="190">
                  <c:v>0.11110000000000002</c:v>
                </c:pt>
                <c:pt idx="193">
                  <c:v>0.18129999999999999</c:v>
                </c:pt>
                <c:pt idx="196">
                  <c:v>7.2849999999999998E-2</c:v>
                </c:pt>
                <c:pt idx="200">
                  <c:v>0.12765000000000001</c:v>
                </c:pt>
                <c:pt idx="203">
                  <c:v>0.14984999999999998</c:v>
                </c:pt>
                <c:pt idx="206">
                  <c:v>8.77E-2</c:v>
                </c:pt>
                <c:pt idx="212">
                  <c:v>6.6300000000000012E-2</c:v>
                </c:pt>
                <c:pt idx="215">
                  <c:v>3.9400000000000004E-2</c:v>
                </c:pt>
                <c:pt idx="218">
                  <c:v>0.10583749999999999</c:v>
                </c:pt>
                <c:pt idx="224">
                  <c:v>7.690000000000001E-2</c:v>
                </c:pt>
                <c:pt idx="227">
                  <c:v>9.8912500000000014E-2</c:v>
                </c:pt>
                <c:pt idx="233">
                  <c:v>0.1656</c:v>
                </c:pt>
                <c:pt idx="236">
                  <c:v>8.5349999999999995E-2</c:v>
                </c:pt>
                <c:pt idx="239">
                  <c:v>0.12380000000000001</c:v>
                </c:pt>
                <c:pt idx="242">
                  <c:v>0.2195</c:v>
                </c:pt>
                <c:pt idx="245">
                  <c:v>0.35749999999999998</c:v>
                </c:pt>
                <c:pt idx="248">
                  <c:v>0.27910000000000001</c:v>
                </c:pt>
                <c:pt idx="251">
                  <c:v>0.40269999999999995</c:v>
                </c:pt>
                <c:pt idx="254">
                  <c:v>0.18984999999999999</c:v>
                </c:pt>
                <c:pt idx="257">
                  <c:v>0.15595000000000001</c:v>
                </c:pt>
                <c:pt idx="260">
                  <c:v>0.19539999999999999</c:v>
                </c:pt>
                <c:pt idx="263">
                  <c:v>0.185</c:v>
                </c:pt>
                <c:pt idx="266">
                  <c:v>0.11800000000000001</c:v>
                </c:pt>
                <c:pt idx="269">
                  <c:v>0.28349999999999997</c:v>
                </c:pt>
                <c:pt idx="272">
                  <c:v>0.56479999999999997</c:v>
                </c:pt>
                <c:pt idx="278">
                  <c:v>0.11119999999999999</c:v>
                </c:pt>
                <c:pt idx="281">
                  <c:v>0.16178947368421054</c:v>
                </c:pt>
                <c:pt idx="284">
                  <c:v>0.71189473684210525</c:v>
                </c:pt>
                <c:pt idx="287">
                  <c:v>2.2627999999999999</c:v>
                </c:pt>
                <c:pt idx="290">
                  <c:v>0.68484999999999996</c:v>
                </c:pt>
                <c:pt idx="293">
                  <c:v>0.42819999999999991</c:v>
                </c:pt>
                <c:pt idx="296">
                  <c:v>0.38874999999999998</c:v>
                </c:pt>
                <c:pt idx="299">
                  <c:v>0.54804999999999993</c:v>
                </c:pt>
                <c:pt idx="302">
                  <c:v>1.0345000000000002</c:v>
                </c:pt>
                <c:pt idx="305">
                  <c:v>0.67420000000000002</c:v>
                </c:pt>
                <c:pt idx="308">
                  <c:v>1.786</c:v>
                </c:pt>
                <c:pt idx="311">
                  <c:v>3.7695499999999997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79360"/>
        <c:axId val="95285632"/>
      </c:scatterChart>
      <c:valAx>
        <c:axId val="95279360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285632"/>
        <c:crosses val="autoZero"/>
        <c:crossBetween val="midCat"/>
        <c:majorUnit val="45"/>
        <c:minorUnit val="5"/>
      </c:valAx>
      <c:valAx>
        <c:axId val="9528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79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882600658419192"/>
          <c:y val="6.6879921259842545E-2"/>
          <c:w val="0.21709733158355204"/>
          <c:h val="0.37075422863808688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0.34089260717410325"/>
                  <c:y val="-2.345180810731991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Calibration!$B$16:$B$20</c:f>
              <c:numCache>
                <c:formatCode>General</c:formatCode>
                <c:ptCount val="5"/>
                <c:pt idx="0">
                  <c:v>4497</c:v>
                </c:pt>
                <c:pt idx="1">
                  <c:v>2962</c:v>
                </c:pt>
                <c:pt idx="3">
                  <c:v>419</c:v>
                </c:pt>
                <c:pt idx="4">
                  <c:v>715</c:v>
                </c:pt>
              </c:numCache>
            </c:numRef>
          </c:xVal>
          <c:yVal>
            <c:numRef>
              <c:f>Calibration!$C$16:$C$20</c:f>
              <c:numCache>
                <c:formatCode>0.00E+00</c:formatCode>
                <c:ptCount val="5"/>
                <c:pt idx="0">
                  <c:v>34050000000</c:v>
                </c:pt>
                <c:pt idx="1">
                  <c:v>26300000000</c:v>
                </c:pt>
                <c:pt idx="3">
                  <c:v>2626000000</c:v>
                </c:pt>
                <c:pt idx="4">
                  <c:v>4447000000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24608"/>
        <c:axId val="107126144"/>
      </c:scatterChart>
      <c:valAx>
        <c:axId val="1071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26144"/>
        <c:crosses val="autoZero"/>
        <c:crossBetween val="midCat"/>
      </c:valAx>
      <c:valAx>
        <c:axId val="10712614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0712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Calibration!$C$32</c:f>
              <c:strCache>
                <c:ptCount val="1"/>
                <c:pt idx="0">
                  <c:v>ADC1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20572047244094488"/>
                  <c:y val="5.05668562263050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 sz="1200" baseline="0"/>
                      <a:t>y = 0,0008x</a:t>
                    </a:r>
                    <a:r>
                      <a:rPr lang="en-GB" sz="1200" baseline="30000"/>
                      <a:t>2</a:t>
                    </a:r>
                    <a:r>
                      <a:rPr lang="en-GB" sz="1200" baseline="0"/>
                      <a:t> + 4,4593x + 145,26</a:t>
                    </a:r>
                    <a:endParaRPr lang="en-GB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Calibration!$B$34:$B$38</c:f>
              <c:numCache>
                <c:formatCode>General</c:formatCode>
                <c:ptCount val="5"/>
                <c:pt idx="0">
                  <c:v>81</c:v>
                </c:pt>
                <c:pt idx="2">
                  <c:v>329</c:v>
                </c:pt>
                <c:pt idx="3">
                  <c:v>215</c:v>
                </c:pt>
                <c:pt idx="4">
                  <c:v>358</c:v>
                </c:pt>
              </c:numCache>
            </c:numRef>
          </c:xVal>
          <c:yVal>
            <c:numRef>
              <c:f>Calibration!$C$34:$C$38</c:f>
              <c:numCache>
                <c:formatCode>General</c:formatCode>
                <c:ptCount val="5"/>
                <c:pt idx="0">
                  <c:v>511.7</c:v>
                </c:pt>
                <c:pt idx="1">
                  <c:v>731.9</c:v>
                </c:pt>
                <c:pt idx="2">
                  <c:v>1697.2</c:v>
                </c:pt>
                <c:pt idx="3">
                  <c:v>1137.5999999999999</c:v>
                </c:pt>
                <c:pt idx="4">
                  <c:v>1835.9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50720"/>
        <c:axId val="107218048"/>
      </c:scatterChart>
      <c:valAx>
        <c:axId val="1071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18048"/>
        <c:crosses val="autoZero"/>
        <c:crossBetween val="midCat"/>
      </c:valAx>
      <c:valAx>
        <c:axId val="10721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150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0.28215113735783026"/>
                  <c:y val="-3.96347331583552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212755x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Calibration!$P$33:$P$36</c:f>
              <c:numCache>
                <c:formatCode>General</c:formatCode>
                <c:ptCount val="4"/>
                <c:pt idx="0">
                  <c:v>476025</c:v>
                </c:pt>
                <c:pt idx="1">
                  <c:v>194051</c:v>
                </c:pt>
                <c:pt idx="2">
                  <c:v>141109</c:v>
                </c:pt>
                <c:pt idx="3">
                  <c:v>75432</c:v>
                </c:pt>
              </c:numCache>
            </c:numRef>
          </c:xVal>
          <c:yVal>
            <c:numRef>
              <c:f>Calibration!$Q$33:$Q$36</c:f>
              <c:numCache>
                <c:formatCode>0.00E+00</c:formatCode>
                <c:ptCount val="4"/>
                <c:pt idx="0">
                  <c:v>110100000000</c:v>
                </c:pt>
                <c:pt idx="1">
                  <c:v>34390000000</c:v>
                </c:pt>
                <c:pt idx="2">
                  <c:v>15220000000</c:v>
                </c:pt>
                <c:pt idx="3">
                  <c:v>5794000000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34816"/>
        <c:axId val="107236352"/>
      </c:scatterChart>
      <c:valAx>
        <c:axId val="1072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36352"/>
        <c:crosses val="autoZero"/>
        <c:crossBetween val="midCat"/>
      </c:valAx>
      <c:valAx>
        <c:axId val="10723635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07234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Calibration!$AA$31:$AB$31</c:f>
              <c:strCache>
                <c:ptCount val="1"/>
                <c:pt idx="0">
                  <c:v>p/sr livetime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3.7656167979002626E-2"/>
                  <c:y val="-5.4942038495188104E-2"/>
                </c:manualLayout>
              </c:layout>
              <c:numFmt formatCode="General" sourceLinked="0"/>
            </c:trendlineLbl>
          </c:trendline>
          <c:xVal>
            <c:numRef>
              <c:f>Calibration!$AB$32:$AB$35</c:f>
              <c:numCache>
                <c:formatCode>General</c:formatCode>
                <c:ptCount val="4"/>
                <c:pt idx="0">
                  <c:v>460</c:v>
                </c:pt>
                <c:pt idx="1">
                  <c:v>590</c:v>
                </c:pt>
                <c:pt idx="2">
                  <c:v>480</c:v>
                </c:pt>
                <c:pt idx="3">
                  <c:v>730</c:v>
                </c:pt>
              </c:numCache>
            </c:numRef>
          </c:xVal>
          <c:yVal>
            <c:numRef>
              <c:f>Calibration!$AA$32:$AA$35</c:f>
              <c:numCache>
                <c:formatCode>0.00E+00</c:formatCode>
                <c:ptCount val="4"/>
                <c:pt idx="0">
                  <c:v>287000000000</c:v>
                </c:pt>
                <c:pt idx="1">
                  <c:v>318300000000</c:v>
                </c:pt>
                <c:pt idx="2">
                  <c:v>263200000000</c:v>
                </c:pt>
                <c:pt idx="3">
                  <c:v>375500000000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1376"/>
        <c:axId val="107623168"/>
      </c:scatterChart>
      <c:valAx>
        <c:axId val="1076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23168"/>
        <c:crosses val="autoZero"/>
        <c:crossBetween val="midCat"/>
      </c:valAx>
      <c:valAx>
        <c:axId val="10762316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07621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Calibration!$D$49</c:f>
              <c:strCache>
                <c:ptCount val="1"/>
                <c:pt idx="0">
                  <c:v>ADC0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chemeClr val="accent1"/>
                </a:solidFill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20013057742782153"/>
                  <c:y val="0.390839530475357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solidFill>
                          <a:schemeClr val="accent1"/>
                        </a:solidFill>
                      </a:rPr>
                      <a:t>y = 0,0026x</a:t>
                    </a:r>
                    <a:r>
                      <a:rPr lang="en-US" sz="1200" baseline="30000">
                        <a:solidFill>
                          <a:schemeClr val="accent1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chemeClr val="accent1"/>
                        </a:solidFill>
                      </a:rPr>
                      <a:t> + 4,3242x + 258,89</a:t>
                    </a:r>
                    <a:endParaRPr lang="en-US" sz="12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Calibration!$D$50:$D$54</c:f>
              <c:numCache>
                <c:formatCode>General</c:formatCode>
                <c:ptCount val="5"/>
                <c:pt idx="0">
                  <c:v>238</c:v>
                </c:pt>
                <c:pt idx="1">
                  <c:v>316</c:v>
                </c:pt>
                <c:pt idx="2">
                  <c:v>211</c:v>
                </c:pt>
                <c:pt idx="3">
                  <c:v>321</c:v>
                </c:pt>
                <c:pt idx="4">
                  <c:v>328</c:v>
                </c:pt>
              </c:numCache>
            </c:numRef>
          </c:xVal>
          <c:yVal>
            <c:numRef>
              <c:f>Calibration!$B$50:$B$54</c:f>
              <c:numCache>
                <c:formatCode>General</c:formatCode>
                <c:ptCount val="5"/>
                <c:pt idx="0">
                  <c:v>1436.8</c:v>
                </c:pt>
                <c:pt idx="1">
                  <c:v>1879.1</c:v>
                </c:pt>
                <c:pt idx="2">
                  <c:v>1286.0999999999999</c:v>
                </c:pt>
                <c:pt idx="3">
                  <c:v>1919.1</c:v>
                </c:pt>
                <c:pt idx="4">
                  <c:v>1957.4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Calibration!$E$49</c:f>
              <c:strCache>
                <c:ptCount val="1"/>
                <c:pt idx="0">
                  <c:v>ADC1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chemeClr val="accent2"/>
                </a:solidFill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-2.0669728783902011E-2"/>
                  <c:y val="-9.516513560804899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y = 0,0009x</a:t>
                    </a:r>
                    <a:r>
                      <a:rPr lang="en-US" sz="1200" baseline="30000">
                        <a:solidFill>
                          <a:schemeClr val="accent2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 + 5,8764x + 136,29</a:t>
                    </a:r>
                    <a:endParaRPr lang="en-US" sz="12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Calibration!$E$50:$E$54</c:f>
              <c:numCache>
                <c:formatCode>General</c:formatCode>
                <c:ptCount val="5"/>
                <c:pt idx="0">
                  <c:v>214</c:v>
                </c:pt>
                <c:pt idx="1">
                  <c:v>284</c:v>
                </c:pt>
                <c:pt idx="2">
                  <c:v>190</c:v>
                </c:pt>
                <c:pt idx="3">
                  <c:v>290</c:v>
                </c:pt>
                <c:pt idx="4">
                  <c:v>296</c:v>
                </c:pt>
              </c:numCache>
            </c:numRef>
          </c:xVal>
          <c:yVal>
            <c:numRef>
              <c:f>Calibration!$B$50:$B$54</c:f>
              <c:numCache>
                <c:formatCode>General</c:formatCode>
                <c:ptCount val="5"/>
                <c:pt idx="0">
                  <c:v>1436.8</c:v>
                </c:pt>
                <c:pt idx="1">
                  <c:v>1879.1</c:v>
                </c:pt>
                <c:pt idx="2">
                  <c:v>1286.0999999999999</c:v>
                </c:pt>
                <c:pt idx="3">
                  <c:v>1919.1</c:v>
                </c:pt>
                <c:pt idx="4">
                  <c:v>1957.4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50432"/>
        <c:axId val="107656320"/>
      </c:scatterChart>
      <c:valAx>
        <c:axId val="1076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56320"/>
        <c:crosses val="autoZero"/>
        <c:crossBetween val="midCat"/>
      </c:valAx>
      <c:valAx>
        <c:axId val="10765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50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Calibration!$P$48</c:f>
              <c:strCache>
                <c:ptCount val="1"/>
                <c:pt idx="0">
                  <c:v>ADC3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8.0574146981627293E-2"/>
                  <c:y val="-2.05515456401283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3E+06x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Calibration!$P$50:$P$55</c:f>
              <c:numCache>
                <c:formatCode>General</c:formatCode>
                <c:ptCount val="6"/>
                <c:pt idx="0">
                  <c:v>3641</c:v>
                </c:pt>
                <c:pt idx="1">
                  <c:v>11358</c:v>
                </c:pt>
                <c:pt idx="2">
                  <c:v>3135</c:v>
                </c:pt>
                <c:pt idx="3">
                  <c:v>6013</c:v>
                </c:pt>
                <c:pt idx="4">
                  <c:v>3255</c:v>
                </c:pt>
                <c:pt idx="5">
                  <c:v>11002</c:v>
                </c:pt>
              </c:numCache>
            </c:numRef>
          </c:xVal>
          <c:yVal>
            <c:numRef>
              <c:f>Calibration!$Q$50:$Q$55</c:f>
              <c:numCache>
                <c:formatCode>0.00E+00</c:formatCode>
                <c:ptCount val="6"/>
                <c:pt idx="0">
                  <c:v>11510000000</c:v>
                </c:pt>
                <c:pt idx="1">
                  <c:v>43180000000</c:v>
                </c:pt>
                <c:pt idx="2">
                  <c:v>7491000000</c:v>
                </c:pt>
                <c:pt idx="3">
                  <c:v>17400000000</c:v>
                </c:pt>
                <c:pt idx="4">
                  <c:v>6193000000</c:v>
                </c:pt>
                <c:pt idx="5">
                  <c:v>36930000000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89472"/>
        <c:axId val="107691008"/>
      </c:scatterChart>
      <c:valAx>
        <c:axId val="107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91008"/>
        <c:crosses val="autoZero"/>
        <c:crossBetween val="midCat"/>
      </c:valAx>
      <c:valAx>
        <c:axId val="10769100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07689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0328337990009313"/>
                  <c:y val="-1.9330340716756201E-2"/>
                </c:manualLayout>
              </c:layout>
              <c:numFmt formatCode="General" sourceLinked="0"/>
            </c:trendlineLbl>
          </c:trendline>
          <c:xVal>
            <c:numRef>
              <c:f>[2]calibration!$B$72:$B$79</c:f>
              <c:numCache>
                <c:formatCode>General</c:formatCode>
                <c:ptCount val="8"/>
                <c:pt idx="0">
                  <c:v>87</c:v>
                </c:pt>
                <c:pt idx="1">
                  <c:v>141</c:v>
                </c:pt>
                <c:pt idx="2">
                  <c:v>229</c:v>
                </c:pt>
                <c:pt idx="3">
                  <c:v>327</c:v>
                </c:pt>
                <c:pt idx="4">
                  <c:v>330</c:v>
                </c:pt>
                <c:pt idx="5">
                  <c:v>354</c:v>
                </c:pt>
                <c:pt idx="6">
                  <c:v>358</c:v>
                </c:pt>
                <c:pt idx="7">
                  <c:v>389</c:v>
                </c:pt>
              </c:numCache>
            </c:numRef>
          </c:xVal>
          <c:yVal>
            <c:numRef>
              <c:f>[2]calibration!$C$72:$C$79</c:f>
              <c:numCache>
                <c:formatCode>General</c:formatCode>
                <c:ptCount val="8"/>
                <c:pt idx="0">
                  <c:v>512</c:v>
                </c:pt>
                <c:pt idx="1">
                  <c:v>732</c:v>
                </c:pt>
                <c:pt idx="2">
                  <c:v>1111</c:v>
                </c:pt>
                <c:pt idx="3">
                  <c:v>1561</c:v>
                </c:pt>
                <c:pt idx="4">
                  <c:v>1572</c:v>
                </c:pt>
                <c:pt idx="5">
                  <c:v>1683</c:v>
                </c:pt>
                <c:pt idx="6">
                  <c:v>1697</c:v>
                </c:pt>
                <c:pt idx="7">
                  <c:v>1836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11872"/>
        <c:axId val="107807872"/>
      </c:scatterChart>
      <c:valAx>
        <c:axId val="107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07872"/>
        <c:crosses val="autoZero"/>
        <c:crossBetween val="midCat"/>
      </c:valAx>
      <c:valAx>
        <c:axId val="10780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1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40009997556987953"/>
                  <c:y val="-4.3175057663246641E-2"/>
                </c:manualLayout>
              </c:layout>
              <c:numFmt formatCode="0.000E+00" sourceLinked="0"/>
            </c:trendlineLbl>
          </c:trendline>
          <c:xVal>
            <c:numRef>
              <c:f>[2]calibration!$N$72:$N$77</c:f>
              <c:numCache>
                <c:formatCode>General</c:formatCode>
                <c:ptCount val="6"/>
                <c:pt idx="0">
                  <c:v>2529</c:v>
                </c:pt>
                <c:pt idx="1">
                  <c:v>4157</c:v>
                </c:pt>
                <c:pt idx="2">
                  <c:v>4515</c:v>
                </c:pt>
                <c:pt idx="3">
                  <c:v>3217</c:v>
                </c:pt>
                <c:pt idx="4">
                  <c:v>1624</c:v>
                </c:pt>
                <c:pt idx="5">
                  <c:v>767</c:v>
                </c:pt>
              </c:numCache>
            </c:numRef>
          </c:xVal>
          <c:yVal>
            <c:numRef>
              <c:f>[2]calibration!$O$72:$O$77</c:f>
              <c:numCache>
                <c:formatCode>General</c:formatCode>
                <c:ptCount val="6"/>
                <c:pt idx="0">
                  <c:v>48100000000</c:v>
                </c:pt>
                <c:pt idx="1">
                  <c:v>80790000000</c:v>
                </c:pt>
                <c:pt idx="2">
                  <c:v>68490000000</c:v>
                </c:pt>
                <c:pt idx="3">
                  <c:v>52300000000</c:v>
                </c:pt>
                <c:pt idx="4">
                  <c:v>23730000000</c:v>
                </c:pt>
                <c:pt idx="5">
                  <c:v>9724000000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44736"/>
        <c:axId val="107846272"/>
      </c:scatterChart>
      <c:valAx>
        <c:axId val="1078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46272"/>
        <c:crosses val="autoZero"/>
        <c:crossBetween val="midCat"/>
      </c:valAx>
      <c:valAx>
        <c:axId val="1078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44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335612423447069"/>
                  <c:y val="-1.4363517060367453E-2"/>
                </c:manualLayout>
              </c:layout>
              <c:numFmt formatCode="General" sourceLinked="0"/>
            </c:trendlineLbl>
          </c:trendline>
          <c:xVal>
            <c:numRef>
              <c:f>[3]Calibration!$B$49:$B$56</c:f>
              <c:numCache>
                <c:formatCode>General</c:formatCode>
                <c:ptCount val="8"/>
                <c:pt idx="0">
                  <c:v>202</c:v>
                </c:pt>
                <c:pt idx="1">
                  <c:v>783</c:v>
                </c:pt>
                <c:pt idx="2">
                  <c:v>638</c:v>
                </c:pt>
                <c:pt idx="3">
                  <c:v>902</c:v>
                </c:pt>
                <c:pt idx="4">
                  <c:v>443</c:v>
                </c:pt>
                <c:pt idx="5">
                  <c:v>283</c:v>
                </c:pt>
                <c:pt idx="6">
                  <c:v>137</c:v>
                </c:pt>
                <c:pt idx="7">
                  <c:v>98</c:v>
                </c:pt>
              </c:numCache>
            </c:numRef>
          </c:xVal>
          <c:yVal>
            <c:numRef>
              <c:f>[3]Calibration!$C$49:$C$56</c:f>
              <c:numCache>
                <c:formatCode>General</c:formatCode>
                <c:ptCount val="8"/>
                <c:pt idx="0">
                  <c:v>2625</c:v>
                </c:pt>
                <c:pt idx="1">
                  <c:v>9848</c:v>
                </c:pt>
                <c:pt idx="2">
                  <c:v>8038</c:v>
                </c:pt>
                <c:pt idx="3">
                  <c:v>11424</c:v>
                </c:pt>
                <c:pt idx="4">
                  <c:v>5618</c:v>
                </c:pt>
                <c:pt idx="5">
                  <c:v>3635</c:v>
                </c:pt>
                <c:pt idx="6">
                  <c:v>1800</c:v>
                </c:pt>
                <c:pt idx="7">
                  <c:v>1322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62656"/>
        <c:axId val="107868544"/>
      </c:scatterChart>
      <c:valAx>
        <c:axId val="1078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68544"/>
        <c:crosses val="autoZero"/>
        <c:crossBetween val="midCat"/>
      </c:valAx>
      <c:valAx>
        <c:axId val="1078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6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6295275590551181"/>
                  <c:y val="-5.608413531641878E-2"/>
                </c:manualLayout>
              </c:layout>
              <c:numFmt formatCode="0.000E+00" sourceLinked="0"/>
            </c:trendlineLbl>
          </c:trendline>
          <c:xVal>
            <c:numRef>
              <c:f>[3]Calibration!$M$49:$M$51</c:f>
              <c:numCache>
                <c:formatCode>General</c:formatCode>
                <c:ptCount val="3"/>
                <c:pt idx="0">
                  <c:v>33420</c:v>
                </c:pt>
                <c:pt idx="1">
                  <c:v>1760</c:v>
                </c:pt>
                <c:pt idx="2">
                  <c:v>1289</c:v>
                </c:pt>
              </c:numCache>
            </c:numRef>
          </c:xVal>
          <c:yVal>
            <c:numRef>
              <c:f>[3]Calibration!$N$49:$N$51</c:f>
              <c:numCache>
                <c:formatCode>General</c:formatCode>
                <c:ptCount val="3"/>
                <c:pt idx="0">
                  <c:v>506800000000</c:v>
                </c:pt>
                <c:pt idx="1">
                  <c:v>14220000000</c:v>
                </c:pt>
                <c:pt idx="2">
                  <c:v>142500000000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89024"/>
        <c:axId val="107890560"/>
      </c:scatterChart>
      <c:valAx>
        <c:axId val="1078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90560"/>
        <c:crosses val="autoZero"/>
        <c:crossBetween val="midCat"/>
      </c:valAx>
      <c:valAx>
        <c:axId val="10789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8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 back tot. - toroidal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Results!$AU$1</c:f>
              <c:strCache>
                <c:ptCount val="1"/>
                <c:pt idx="0">
                  <c:v>Mo back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Results!$AH$2:$AH$315</c:f>
              <c:numCache>
                <c:formatCode>General</c:formatCode>
                <c:ptCount val="314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Results!$AU$2:$AU$315</c:f>
              <c:numCache>
                <c:formatCode>General</c:formatCode>
                <c:ptCount val="314"/>
                <c:pt idx="0">
                  <c:v>225.5</c:v>
                </c:pt>
                <c:pt idx="3">
                  <c:v>181</c:v>
                </c:pt>
                <c:pt idx="6">
                  <c:v>119.25</c:v>
                </c:pt>
                <c:pt idx="9">
                  <c:v>158</c:v>
                </c:pt>
                <c:pt idx="14">
                  <c:v>205</c:v>
                </c:pt>
                <c:pt idx="17">
                  <c:v>216</c:v>
                </c:pt>
                <c:pt idx="20">
                  <c:v>152.19999999999999</c:v>
                </c:pt>
                <c:pt idx="23">
                  <c:v>46</c:v>
                </c:pt>
                <c:pt idx="28">
                  <c:v>199.8</c:v>
                </c:pt>
                <c:pt idx="31">
                  <c:v>8.9</c:v>
                </c:pt>
                <c:pt idx="34">
                  <c:v>294.5</c:v>
                </c:pt>
                <c:pt idx="37">
                  <c:v>258.16666666666669</c:v>
                </c:pt>
                <c:pt idx="43">
                  <c:v>53.45</c:v>
                </c:pt>
                <c:pt idx="46">
                  <c:v>92.9</c:v>
                </c:pt>
                <c:pt idx="49">
                  <c:v>222.8</c:v>
                </c:pt>
                <c:pt idx="52">
                  <c:v>219.7</c:v>
                </c:pt>
                <c:pt idx="55">
                  <c:v>207</c:v>
                </c:pt>
                <c:pt idx="58">
                  <c:v>164.2</c:v>
                </c:pt>
                <c:pt idx="61">
                  <c:v>162.9</c:v>
                </c:pt>
                <c:pt idx="64">
                  <c:v>32</c:v>
                </c:pt>
                <c:pt idx="67">
                  <c:v>230</c:v>
                </c:pt>
                <c:pt idx="70">
                  <c:v>179.55</c:v>
                </c:pt>
                <c:pt idx="73">
                  <c:v>100.8</c:v>
                </c:pt>
                <c:pt idx="76">
                  <c:v>182.85</c:v>
                </c:pt>
                <c:pt idx="79">
                  <c:v>225.8</c:v>
                </c:pt>
                <c:pt idx="82">
                  <c:v>194.95</c:v>
                </c:pt>
                <c:pt idx="85">
                  <c:v>161.30000000000001</c:v>
                </c:pt>
                <c:pt idx="88">
                  <c:v>178.3</c:v>
                </c:pt>
                <c:pt idx="91">
                  <c:v>159.33333333333337</c:v>
                </c:pt>
                <c:pt idx="97">
                  <c:v>248.3</c:v>
                </c:pt>
                <c:pt idx="100">
                  <c:v>247.66666666666669</c:v>
                </c:pt>
                <c:pt idx="106">
                  <c:v>219.9</c:v>
                </c:pt>
                <c:pt idx="109">
                  <c:v>60.5</c:v>
                </c:pt>
                <c:pt idx="112">
                  <c:v>180.8</c:v>
                </c:pt>
                <c:pt idx="119">
                  <c:v>151.4</c:v>
                </c:pt>
                <c:pt idx="122">
                  <c:v>157</c:v>
                </c:pt>
                <c:pt idx="125">
                  <c:v>143.83333333333334</c:v>
                </c:pt>
                <c:pt idx="131">
                  <c:v>111.4</c:v>
                </c:pt>
                <c:pt idx="134">
                  <c:v>172.4</c:v>
                </c:pt>
                <c:pt idx="137">
                  <c:v>209.3</c:v>
                </c:pt>
                <c:pt idx="140">
                  <c:v>124.1</c:v>
                </c:pt>
                <c:pt idx="143">
                  <c:v>168.6</c:v>
                </c:pt>
                <c:pt idx="146">
                  <c:v>212.55</c:v>
                </c:pt>
                <c:pt idx="149">
                  <c:v>99.25</c:v>
                </c:pt>
                <c:pt idx="152">
                  <c:v>93.45</c:v>
                </c:pt>
                <c:pt idx="155">
                  <c:v>115.2</c:v>
                </c:pt>
                <c:pt idx="158">
                  <c:v>128.6</c:v>
                </c:pt>
                <c:pt idx="161">
                  <c:v>124.9</c:v>
                </c:pt>
                <c:pt idx="164">
                  <c:v>159</c:v>
                </c:pt>
                <c:pt idx="167">
                  <c:v>209.9</c:v>
                </c:pt>
                <c:pt idx="170">
                  <c:v>286</c:v>
                </c:pt>
                <c:pt idx="171">
                  <c:v>290.60000000000002</c:v>
                </c:pt>
                <c:pt idx="174">
                  <c:v>125.8</c:v>
                </c:pt>
                <c:pt idx="177">
                  <c:v>71.349999999999994</c:v>
                </c:pt>
                <c:pt idx="180">
                  <c:v>90.4</c:v>
                </c:pt>
                <c:pt idx="184">
                  <c:v>103.16666666666666</c:v>
                </c:pt>
                <c:pt idx="190">
                  <c:v>101.2</c:v>
                </c:pt>
                <c:pt idx="193">
                  <c:v>61.2</c:v>
                </c:pt>
                <c:pt idx="196">
                  <c:v>118.75</c:v>
                </c:pt>
                <c:pt idx="200">
                  <c:v>89.8</c:v>
                </c:pt>
                <c:pt idx="203">
                  <c:v>87.5</c:v>
                </c:pt>
                <c:pt idx="206">
                  <c:v>82.075000000000003</c:v>
                </c:pt>
                <c:pt idx="212">
                  <c:v>95.15</c:v>
                </c:pt>
                <c:pt idx="215">
                  <c:v>45.5</c:v>
                </c:pt>
                <c:pt idx="218">
                  <c:v>110.16249999999999</c:v>
                </c:pt>
                <c:pt idx="224">
                  <c:v>65.55</c:v>
                </c:pt>
                <c:pt idx="227">
                  <c:v>90.0625</c:v>
                </c:pt>
                <c:pt idx="233">
                  <c:v>135.05000000000001</c:v>
                </c:pt>
                <c:pt idx="236">
                  <c:v>49.7</c:v>
                </c:pt>
                <c:pt idx="239">
                  <c:v>11.8</c:v>
                </c:pt>
                <c:pt idx="242">
                  <c:v>61.9</c:v>
                </c:pt>
                <c:pt idx="245">
                  <c:v>289.64999999999998</c:v>
                </c:pt>
                <c:pt idx="248">
                  <c:v>299.8</c:v>
                </c:pt>
                <c:pt idx="251">
                  <c:v>264.60000000000002</c:v>
                </c:pt>
                <c:pt idx="254">
                  <c:v>84</c:v>
                </c:pt>
                <c:pt idx="257">
                  <c:v>48.5</c:v>
                </c:pt>
                <c:pt idx="260">
                  <c:v>103.1</c:v>
                </c:pt>
                <c:pt idx="263">
                  <c:v>110.9</c:v>
                </c:pt>
                <c:pt idx="266">
                  <c:v>179.55</c:v>
                </c:pt>
                <c:pt idx="269">
                  <c:v>415.3</c:v>
                </c:pt>
                <c:pt idx="272">
                  <c:v>153.65</c:v>
                </c:pt>
                <c:pt idx="278">
                  <c:v>117.8</c:v>
                </c:pt>
                <c:pt idx="281">
                  <c:v>132.57894736842107</c:v>
                </c:pt>
                <c:pt idx="284">
                  <c:v>196.73684210526318</c:v>
                </c:pt>
                <c:pt idx="287">
                  <c:v>460.7</c:v>
                </c:pt>
                <c:pt idx="290">
                  <c:v>135.6</c:v>
                </c:pt>
                <c:pt idx="293">
                  <c:v>155</c:v>
                </c:pt>
                <c:pt idx="296">
                  <c:v>152.75</c:v>
                </c:pt>
                <c:pt idx="299">
                  <c:v>261.60000000000002</c:v>
                </c:pt>
                <c:pt idx="302">
                  <c:v>412.1</c:v>
                </c:pt>
                <c:pt idx="305">
                  <c:v>384.45</c:v>
                </c:pt>
                <c:pt idx="308">
                  <c:v>602</c:v>
                </c:pt>
                <c:pt idx="311">
                  <c:v>1121.1500000000001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5776"/>
        <c:axId val="106317312"/>
      </c:scatterChart>
      <c:valAx>
        <c:axId val="106315776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317312"/>
        <c:crosses val="autoZero"/>
        <c:crossBetween val="midCat"/>
        <c:majorUnit val="45"/>
      </c:valAx>
      <c:valAx>
        <c:axId val="10631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1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 peak (-BG) tor. equ.</c:v>
          </c:tx>
          <c:spPr>
            <a:ln w="28575">
              <a:noFill/>
            </a:ln>
          </c:spPr>
          <c:xVal>
            <c:numRef>
              <c:f>equator!$AF$2:$AF$169</c:f>
              <c:numCache>
                <c:formatCode>General</c:formatCode>
                <c:ptCount val="168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11">
                  <c:v>149.0625</c:v>
                </c:pt>
                <c:pt idx="14">
                  <c:v>149.0625</c:v>
                </c:pt>
                <c:pt idx="17">
                  <c:v>143.4375</c:v>
                </c:pt>
                <c:pt idx="22">
                  <c:v>126.5625</c:v>
                </c:pt>
                <c:pt idx="25">
                  <c:v>120.9375</c:v>
                </c:pt>
                <c:pt idx="31">
                  <c:v>137.8125</c:v>
                </c:pt>
                <c:pt idx="34">
                  <c:v>115.3125</c:v>
                </c:pt>
                <c:pt idx="37">
                  <c:v>104.0625</c:v>
                </c:pt>
                <c:pt idx="40">
                  <c:v>104.0625</c:v>
                </c:pt>
                <c:pt idx="43">
                  <c:v>154.6875</c:v>
                </c:pt>
                <c:pt idx="46">
                  <c:v>120.9375</c:v>
                </c:pt>
                <c:pt idx="49">
                  <c:v>98.4375</c:v>
                </c:pt>
                <c:pt idx="55">
                  <c:v>92.8125</c:v>
                </c:pt>
                <c:pt idx="61">
                  <c:v>70.3125</c:v>
                </c:pt>
                <c:pt idx="64">
                  <c:v>64.6875</c:v>
                </c:pt>
                <c:pt idx="71">
                  <c:v>14.0625</c:v>
                </c:pt>
                <c:pt idx="74">
                  <c:v>8.4375</c:v>
                </c:pt>
                <c:pt idx="80">
                  <c:v>2.8125</c:v>
                </c:pt>
                <c:pt idx="83">
                  <c:v>-2.8125</c:v>
                </c:pt>
                <c:pt idx="86">
                  <c:v>-8.4375</c:v>
                </c:pt>
                <c:pt idx="89">
                  <c:v>-14.0625</c:v>
                </c:pt>
                <c:pt idx="92">
                  <c:v>-19.6875</c:v>
                </c:pt>
                <c:pt idx="95">
                  <c:v>-25.3125</c:v>
                </c:pt>
                <c:pt idx="98">
                  <c:v>-25.3125</c:v>
                </c:pt>
                <c:pt idx="101">
                  <c:v>-30.9375</c:v>
                </c:pt>
                <c:pt idx="104">
                  <c:v>-30.9375</c:v>
                </c:pt>
                <c:pt idx="107">
                  <c:v>-36.5625</c:v>
                </c:pt>
                <c:pt idx="113">
                  <c:v>-36.5625</c:v>
                </c:pt>
                <c:pt idx="116">
                  <c:v>-42.1875</c:v>
                </c:pt>
                <c:pt idx="119">
                  <c:v>-47.8125</c:v>
                </c:pt>
                <c:pt idx="123">
                  <c:v>-75.9375</c:v>
                </c:pt>
                <c:pt idx="126">
                  <c:v>-81.5625</c:v>
                </c:pt>
                <c:pt idx="132">
                  <c:v>-109.6875</c:v>
                </c:pt>
                <c:pt idx="135">
                  <c:v>-115.3125</c:v>
                </c:pt>
                <c:pt idx="141">
                  <c:v>216.5625</c:v>
                </c:pt>
                <c:pt idx="147">
                  <c:v>154.6875</c:v>
                </c:pt>
                <c:pt idx="150">
                  <c:v>64.6875</c:v>
                </c:pt>
                <c:pt idx="156">
                  <c:v>30.9375</c:v>
                </c:pt>
                <c:pt idx="159">
                  <c:v>47.8125</c:v>
                </c:pt>
                <c:pt idx="162">
                  <c:v>14.0625</c:v>
                </c:pt>
                <c:pt idx="165">
                  <c:v>2.8125</c:v>
                </c:pt>
              </c:numCache>
            </c:numRef>
          </c:xVal>
          <c:yVal>
            <c:numRef>
              <c:f>equator!$AO$2:$AO$169</c:f>
              <c:numCache>
                <c:formatCode>General</c:formatCode>
                <c:ptCount val="168"/>
                <c:pt idx="0">
                  <c:v>0.11559999999999998</c:v>
                </c:pt>
                <c:pt idx="3">
                  <c:v>0.21014999999999998</c:v>
                </c:pt>
                <c:pt idx="6">
                  <c:v>0.14180000000000001</c:v>
                </c:pt>
                <c:pt idx="11">
                  <c:v>0.10920000000000001</c:v>
                </c:pt>
                <c:pt idx="14">
                  <c:v>0.38339999999999996</c:v>
                </c:pt>
                <c:pt idx="17">
                  <c:v>0.26600000000000001</c:v>
                </c:pt>
                <c:pt idx="22">
                  <c:v>7.1010000000000004E-2</c:v>
                </c:pt>
                <c:pt idx="25">
                  <c:v>0.17953333333333338</c:v>
                </c:pt>
                <c:pt idx="31">
                  <c:v>3.6940000000000021E-2</c:v>
                </c:pt>
                <c:pt idx="34">
                  <c:v>6.6720000000000029E-2</c:v>
                </c:pt>
                <c:pt idx="37">
                  <c:v>0.14032000000000003</c:v>
                </c:pt>
                <c:pt idx="40">
                  <c:v>4.4430000000000011E-2</c:v>
                </c:pt>
                <c:pt idx="43">
                  <c:v>-5.8799999999999963E-3</c:v>
                </c:pt>
                <c:pt idx="46">
                  <c:v>5.6615000000000047E-2</c:v>
                </c:pt>
                <c:pt idx="49">
                  <c:v>9.4833333333333367E-2</c:v>
                </c:pt>
                <c:pt idx="55">
                  <c:v>6.8966666666666676E-2</c:v>
                </c:pt>
                <c:pt idx="61">
                  <c:v>0.17113</c:v>
                </c:pt>
                <c:pt idx="64">
                  <c:v>0.18770999999999996</c:v>
                </c:pt>
                <c:pt idx="71">
                  <c:v>0.25142000000000003</c:v>
                </c:pt>
                <c:pt idx="74">
                  <c:v>0.65443333333333342</c:v>
                </c:pt>
                <c:pt idx="80">
                  <c:v>0.21660499999999999</c:v>
                </c:pt>
                <c:pt idx="83">
                  <c:v>0.96748000000000001</c:v>
                </c:pt>
                <c:pt idx="86">
                  <c:v>0.81552000000000002</c:v>
                </c:pt>
                <c:pt idx="89">
                  <c:v>0.71883000000000008</c:v>
                </c:pt>
                <c:pt idx="92">
                  <c:v>0.37896000000000002</c:v>
                </c:pt>
                <c:pt idx="95">
                  <c:v>9.4740000000000019E-2</c:v>
                </c:pt>
                <c:pt idx="98">
                  <c:v>0.22561</c:v>
                </c:pt>
                <c:pt idx="101">
                  <c:v>0.12854000000000002</c:v>
                </c:pt>
                <c:pt idx="104">
                  <c:v>0.14655499999999999</c:v>
                </c:pt>
                <c:pt idx="107">
                  <c:v>9.4716666666666671E-2</c:v>
                </c:pt>
                <c:pt idx="113">
                  <c:v>5.886000000000001E-2</c:v>
                </c:pt>
                <c:pt idx="116">
                  <c:v>0.12367</c:v>
                </c:pt>
                <c:pt idx="119">
                  <c:v>8.199999999999963E-4</c:v>
                </c:pt>
                <c:pt idx="123">
                  <c:v>6.3390000000000016E-2</c:v>
                </c:pt>
                <c:pt idx="126">
                  <c:v>2.2145000000000005E-2</c:v>
                </c:pt>
                <c:pt idx="132">
                  <c:v>-3.0499999999999196E-4</c:v>
                </c:pt>
                <c:pt idx="135">
                  <c:v>2.6783750000000009E-2</c:v>
                </c:pt>
                <c:pt idx="141">
                  <c:v>2.0172500000000003E-2</c:v>
                </c:pt>
                <c:pt idx="147">
                  <c:v>0.11554000000000002</c:v>
                </c:pt>
                <c:pt idx="150">
                  <c:v>0.11307</c:v>
                </c:pt>
                <c:pt idx="156">
                  <c:v>3.7139999999999999E-2</c:v>
                </c:pt>
                <c:pt idx="159">
                  <c:v>2.9210526315789492E-2</c:v>
                </c:pt>
                <c:pt idx="162">
                  <c:v>0.55068421052631578</c:v>
                </c:pt>
                <c:pt idx="165">
                  <c:v>0.31790499999999999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2176"/>
        <c:axId val="110483712"/>
      </c:scatterChart>
      <c:valAx>
        <c:axId val="110482176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0483712"/>
        <c:crosses val="autoZero"/>
        <c:crossBetween val="midCat"/>
        <c:majorUnit val="45"/>
      </c:valAx>
      <c:valAx>
        <c:axId val="11048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82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 peak (-BG) tor equ</c:v>
          </c:tx>
          <c:spPr>
            <a:ln w="28575">
              <a:noFill/>
            </a:ln>
          </c:spPr>
          <c:xVal>
            <c:numRef>
              <c:f>equator!$AF$2:$AF$169</c:f>
              <c:numCache>
                <c:formatCode>General</c:formatCode>
                <c:ptCount val="168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11">
                  <c:v>149.0625</c:v>
                </c:pt>
                <c:pt idx="14">
                  <c:v>149.0625</c:v>
                </c:pt>
                <c:pt idx="17">
                  <c:v>143.4375</c:v>
                </c:pt>
                <c:pt idx="22">
                  <c:v>126.5625</c:v>
                </c:pt>
                <c:pt idx="25">
                  <c:v>120.9375</c:v>
                </c:pt>
                <c:pt idx="31">
                  <c:v>137.8125</c:v>
                </c:pt>
                <c:pt idx="34">
                  <c:v>115.3125</c:v>
                </c:pt>
                <c:pt idx="37">
                  <c:v>104.0625</c:v>
                </c:pt>
                <c:pt idx="40">
                  <c:v>104.0625</c:v>
                </c:pt>
                <c:pt idx="43">
                  <c:v>154.6875</c:v>
                </c:pt>
                <c:pt idx="46">
                  <c:v>120.9375</c:v>
                </c:pt>
                <c:pt idx="49">
                  <c:v>98.4375</c:v>
                </c:pt>
                <c:pt idx="55">
                  <c:v>92.8125</c:v>
                </c:pt>
                <c:pt idx="61">
                  <c:v>70.3125</c:v>
                </c:pt>
                <c:pt idx="64">
                  <c:v>64.6875</c:v>
                </c:pt>
                <c:pt idx="71">
                  <c:v>14.0625</c:v>
                </c:pt>
                <c:pt idx="74">
                  <c:v>8.4375</c:v>
                </c:pt>
                <c:pt idx="80">
                  <c:v>2.8125</c:v>
                </c:pt>
                <c:pt idx="83">
                  <c:v>-2.8125</c:v>
                </c:pt>
                <c:pt idx="86">
                  <c:v>-8.4375</c:v>
                </c:pt>
                <c:pt idx="89">
                  <c:v>-14.0625</c:v>
                </c:pt>
                <c:pt idx="92">
                  <c:v>-19.6875</c:v>
                </c:pt>
                <c:pt idx="95">
                  <c:v>-25.3125</c:v>
                </c:pt>
                <c:pt idx="98">
                  <c:v>-25.3125</c:v>
                </c:pt>
                <c:pt idx="101">
                  <c:v>-30.9375</c:v>
                </c:pt>
                <c:pt idx="104">
                  <c:v>-30.9375</c:v>
                </c:pt>
                <c:pt idx="107">
                  <c:v>-36.5625</c:v>
                </c:pt>
                <c:pt idx="113">
                  <c:v>-36.5625</c:v>
                </c:pt>
                <c:pt idx="116">
                  <c:v>-42.1875</c:v>
                </c:pt>
                <c:pt idx="119">
                  <c:v>-47.8125</c:v>
                </c:pt>
                <c:pt idx="123">
                  <c:v>-75.9375</c:v>
                </c:pt>
                <c:pt idx="126">
                  <c:v>-81.5625</c:v>
                </c:pt>
                <c:pt idx="132">
                  <c:v>-109.6875</c:v>
                </c:pt>
                <c:pt idx="135">
                  <c:v>-115.3125</c:v>
                </c:pt>
                <c:pt idx="141">
                  <c:v>216.5625</c:v>
                </c:pt>
                <c:pt idx="147">
                  <c:v>154.6875</c:v>
                </c:pt>
                <c:pt idx="150">
                  <c:v>64.6875</c:v>
                </c:pt>
                <c:pt idx="156">
                  <c:v>30.9375</c:v>
                </c:pt>
                <c:pt idx="159">
                  <c:v>47.8125</c:v>
                </c:pt>
                <c:pt idx="162">
                  <c:v>14.0625</c:v>
                </c:pt>
                <c:pt idx="165">
                  <c:v>2.8125</c:v>
                </c:pt>
              </c:numCache>
            </c:numRef>
          </c:xVal>
          <c:yVal>
            <c:numRef>
              <c:f>equator!$AQ$2:$AQ$169</c:f>
              <c:numCache>
                <c:formatCode>General</c:formatCode>
                <c:ptCount val="168"/>
                <c:pt idx="0">
                  <c:v>2.3399999999999997E-2</c:v>
                </c:pt>
                <c:pt idx="3">
                  <c:v>9.5449999999999993E-2</c:v>
                </c:pt>
                <c:pt idx="6">
                  <c:v>1.9300000000000001E-2</c:v>
                </c:pt>
                <c:pt idx="11">
                  <c:v>4.9299999999999997E-2</c:v>
                </c:pt>
                <c:pt idx="14">
                  <c:v>2.495E-2</c:v>
                </c:pt>
                <c:pt idx="17">
                  <c:v>-3.5399999999999994E-2</c:v>
                </c:pt>
                <c:pt idx="22">
                  <c:v>2.9760000000000012E-2</c:v>
                </c:pt>
                <c:pt idx="25">
                  <c:v>2.908333333333334E-2</c:v>
                </c:pt>
                <c:pt idx="31">
                  <c:v>4.4240000000000002E-2</c:v>
                </c:pt>
                <c:pt idx="34">
                  <c:v>5.3730000000000014E-2</c:v>
                </c:pt>
                <c:pt idx="37">
                  <c:v>5.1859999999999996E-2</c:v>
                </c:pt>
                <c:pt idx="40">
                  <c:v>7.2980000000000003E-2</c:v>
                </c:pt>
                <c:pt idx="43">
                  <c:v>9.1799999999999989E-3</c:v>
                </c:pt>
                <c:pt idx="46">
                  <c:v>2.1950000000000025E-3</c:v>
                </c:pt>
                <c:pt idx="49">
                  <c:v>1.776666666666667E-2</c:v>
                </c:pt>
                <c:pt idx="55">
                  <c:v>1.6100000000000003E-2</c:v>
                </c:pt>
                <c:pt idx="61">
                  <c:v>2.904E-2</c:v>
                </c:pt>
                <c:pt idx="64">
                  <c:v>4.4509999999999994E-2</c:v>
                </c:pt>
                <c:pt idx="71">
                  <c:v>2.019E-2</c:v>
                </c:pt>
                <c:pt idx="74">
                  <c:v>4.1866666666666677E-2</c:v>
                </c:pt>
                <c:pt idx="80">
                  <c:v>1.0645E-2</c:v>
                </c:pt>
                <c:pt idx="83">
                  <c:v>3.2099999999999997E-2</c:v>
                </c:pt>
                <c:pt idx="86">
                  <c:v>4.4219999999999995E-2</c:v>
                </c:pt>
                <c:pt idx="89">
                  <c:v>2.5970000000000003E-2</c:v>
                </c:pt>
                <c:pt idx="92">
                  <c:v>4.0419999999999998E-2</c:v>
                </c:pt>
                <c:pt idx="95">
                  <c:v>2.5800000000000033E-3</c:v>
                </c:pt>
                <c:pt idx="98">
                  <c:v>1.9969999999999998E-2</c:v>
                </c:pt>
                <c:pt idx="101">
                  <c:v>2.5150000000000002E-2</c:v>
                </c:pt>
                <c:pt idx="104">
                  <c:v>3.1655000000000003E-2</c:v>
                </c:pt>
                <c:pt idx="107">
                  <c:v>2.3908333333333337E-2</c:v>
                </c:pt>
                <c:pt idx="113">
                  <c:v>2.5849999999999998E-2</c:v>
                </c:pt>
                <c:pt idx="116">
                  <c:v>0.05</c:v>
                </c:pt>
                <c:pt idx="119">
                  <c:v>2.794E-2</c:v>
                </c:pt>
                <c:pt idx="123">
                  <c:v>9.130000000000001E-3</c:v>
                </c:pt>
                <c:pt idx="126">
                  <c:v>2.7552500000000001E-2</c:v>
                </c:pt>
                <c:pt idx="132">
                  <c:v>1.8384999999999999E-2</c:v>
                </c:pt>
                <c:pt idx="135">
                  <c:v>2.5086250000000004E-2</c:v>
                </c:pt>
                <c:pt idx="141">
                  <c:v>3.5776250000000002E-2</c:v>
                </c:pt>
                <c:pt idx="147">
                  <c:v>0.26187000000000005</c:v>
                </c:pt>
                <c:pt idx="150">
                  <c:v>3.1959999999999995E-2</c:v>
                </c:pt>
                <c:pt idx="156">
                  <c:v>2.1890000000000007E-2</c:v>
                </c:pt>
                <c:pt idx="159">
                  <c:v>9.5789473684210532E-3</c:v>
                </c:pt>
                <c:pt idx="162">
                  <c:v>4.4089473684210533E-2</c:v>
                </c:pt>
                <c:pt idx="165">
                  <c:v>2.607000000000001E-2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24288"/>
        <c:axId val="110525824"/>
      </c:scatterChart>
      <c:valAx>
        <c:axId val="110524288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0525824"/>
        <c:crosses val="autoZero"/>
        <c:crossBetween val="midCat"/>
        <c:majorUnit val="45"/>
      </c:valAx>
      <c:valAx>
        <c:axId val="11052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2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 BG tor equ</c:v>
          </c:tx>
          <c:spPr>
            <a:ln w="28575">
              <a:noFill/>
            </a:ln>
          </c:spPr>
          <c:xVal>
            <c:numRef>
              <c:f>equator!$AF$2:$AF$169</c:f>
              <c:numCache>
                <c:formatCode>General</c:formatCode>
                <c:ptCount val="168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11">
                  <c:v>149.0625</c:v>
                </c:pt>
                <c:pt idx="14">
                  <c:v>149.0625</c:v>
                </c:pt>
                <c:pt idx="17">
                  <c:v>143.4375</c:v>
                </c:pt>
                <c:pt idx="22">
                  <c:v>126.5625</c:v>
                </c:pt>
                <c:pt idx="25">
                  <c:v>120.9375</c:v>
                </c:pt>
                <c:pt idx="31">
                  <c:v>137.8125</c:v>
                </c:pt>
                <c:pt idx="34">
                  <c:v>115.3125</c:v>
                </c:pt>
                <c:pt idx="37">
                  <c:v>104.0625</c:v>
                </c:pt>
                <c:pt idx="40">
                  <c:v>104.0625</c:v>
                </c:pt>
                <c:pt idx="43">
                  <c:v>154.6875</c:v>
                </c:pt>
                <c:pt idx="46">
                  <c:v>120.9375</c:v>
                </c:pt>
                <c:pt idx="49">
                  <c:v>98.4375</c:v>
                </c:pt>
                <c:pt idx="55">
                  <c:v>92.8125</c:v>
                </c:pt>
                <c:pt idx="61">
                  <c:v>70.3125</c:v>
                </c:pt>
                <c:pt idx="64">
                  <c:v>64.6875</c:v>
                </c:pt>
                <c:pt idx="71">
                  <c:v>14.0625</c:v>
                </c:pt>
                <c:pt idx="74">
                  <c:v>8.4375</c:v>
                </c:pt>
                <c:pt idx="80">
                  <c:v>2.8125</c:v>
                </c:pt>
                <c:pt idx="83">
                  <c:v>-2.8125</c:v>
                </c:pt>
                <c:pt idx="86">
                  <c:v>-8.4375</c:v>
                </c:pt>
                <c:pt idx="89">
                  <c:v>-14.0625</c:v>
                </c:pt>
                <c:pt idx="92">
                  <c:v>-19.6875</c:v>
                </c:pt>
                <c:pt idx="95">
                  <c:v>-25.3125</c:v>
                </c:pt>
                <c:pt idx="98">
                  <c:v>-25.3125</c:v>
                </c:pt>
                <c:pt idx="101">
                  <c:v>-30.9375</c:v>
                </c:pt>
                <c:pt idx="104">
                  <c:v>-30.9375</c:v>
                </c:pt>
                <c:pt idx="107">
                  <c:v>-36.5625</c:v>
                </c:pt>
                <c:pt idx="113">
                  <c:v>-36.5625</c:v>
                </c:pt>
                <c:pt idx="116">
                  <c:v>-42.1875</c:v>
                </c:pt>
                <c:pt idx="119">
                  <c:v>-47.8125</c:v>
                </c:pt>
                <c:pt idx="123">
                  <c:v>-75.9375</c:v>
                </c:pt>
                <c:pt idx="126">
                  <c:v>-81.5625</c:v>
                </c:pt>
                <c:pt idx="132">
                  <c:v>-109.6875</c:v>
                </c:pt>
                <c:pt idx="135">
                  <c:v>-115.3125</c:v>
                </c:pt>
                <c:pt idx="141">
                  <c:v>216.5625</c:v>
                </c:pt>
                <c:pt idx="147">
                  <c:v>154.6875</c:v>
                </c:pt>
                <c:pt idx="150">
                  <c:v>64.6875</c:v>
                </c:pt>
                <c:pt idx="156">
                  <c:v>30.9375</c:v>
                </c:pt>
                <c:pt idx="159">
                  <c:v>47.8125</c:v>
                </c:pt>
                <c:pt idx="162">
                  <c:v>14.0625</c:v>
                </c:pt>
                <c:pt idx="165">
                  <c:v>2.8125</c:v>
                </c:pt>
              </c:numCache>
            </c:numRef>
          </c:xVal>
          <c:yVal>
            <c:numRef>
              <c:f>equator!$AU$2:$AU$169</c:f>
              <c:numCache>
                <c:formatCode>General</c:formatCode>
                <c:ptCount val="168"/>
                <c:pt idx="0">
                  <c:v>0</c:v>
                </c:pt>
                <c:pt idx="3">
                  <c:v>0</c:v>
                </c:pt>
                <c:pt idx="6">
                  <c:v>1160</c:v>
                </c:pt>
                <c:pt idx="11">
                  <c:v>755</c:v>
                </c:pt>
                <c:pt idx="14">
                  <c:v>1600</c:v>
                </c:pt>
                <c:pt idx="17">
                  <c:v>1800</c:v>
                </c:pt>
                <c:pt idx="22">
                  <c:v>1593</c:v>
                </c:pt>
                <c:pt idx="25">
                  <c:v>1763.3333333333335</c:v>
                </c:pt>
                <c:pt idx="31">
                  <c:v>1825</c:v>
                </c:pt>
                <c:pt idx="34">
                  <c:v>2028</c:v>
                </c:pt>
                <c:pt idx="37">
                  <c:v>1587</c:v>
                </c:pt>
                <c:pt idx="40">
                  <c:v>1175</c:v>
                </c:pt>
                <c:pt idx="43">
                  <c:v>1870</c:v>
                </c:pt>
                <c:pt idx="46">
                  <c:v>1787.5</c:v>
                </c:pt>
                <c:pt idx="49">
                  <c:v>1083.3333333333335</c:v>
                </c:pt>
                <c:pt idx="55">
                  <c:v>1495.0000000000002</c:v>
                </c:pt>
                <c:pt idx="61">
                  <c:v>1035</c:v>
                </c:pt>
                <c:pt idx="64">
                  <c:v>1958.5</c:v>
                </c:pt>
                <c:pt idx="71">
                  <c:v>835</c:v>
                </c:pt>
                <c:pt idx="74">
                  <c:v>1016.6666666666669</c:v>
                </c:pt>
                <c:pt idx="80">
                  <c:v>575</c:v>
                </c:pt>
                <c:pt idx="83">
                  <c:v>980</c:v>
                </c:pt>
                <c:pt idx="86">
                  <c:v>1120</c:v>
                </c:pt>
                <c:pt idx="89">
                  <c:v>990</c:v>
                </c:pt>
                <c:pt idx="92">
                  <c:v>875</c:v>
                </c:pt>
                <c:pt idx="95">
                  <c:v>1775</c:v>
                </c:pt>
                <c:pt idx="98">
                  <c:v>1010</c:v>
                </c:pt>
                <c:pt idx="101">
                  <c:v>850</c:v>
                </c:pt>
                <c:pt idx="104">
                  <c:v>610</c:v>
                </c:pt>
                <c:pt idx="107">
                  <c:v>833.33333333333348</c:v>
                </c:pt>
                <c:pt idx="113">
                  <c:v>700</c:v>
                </c:pt>
                <c:pt idx="116">
                  <c:v>2525.6</c:v>
                </c:pt>
                <c:pt idx="119">
                  <c:v>740</c:v>
                </c:pt>
                <c:pt idx="123">
                  <c:v>820</c:v>
                </c:pt>
                <c:pt idx="126">
                  <c:v>1085</c:v>
                </c:pt>
                <c:pt idx="132">
                  <c:v>1610</c:v>
                </c:pt>
                <c:pt idx="135">
                  <c:v>2008.75</c:v>
                </c:pt>
                <c:pt idx="141">
                  <c:v>2432.5</c:v>
                </c:pt>
                <c:pt idx="147">
                  <c:v>2165</c:v>
                </c:pt>
                <c:pt idx="150">
                  <c:v>1345</c:v>
                </c:pt>
                <c:pt idx="156">
                  <c:v>860</c:v>
                </c:pt>
                <c:pt idx="159">
                  <c:v>642.10526315789468</c:v>
                </c:pt>
                <c:pt idx="162">
                  <c:v>578.94736842105272</c:v>
                </c:pt>
                <c:pt idx="165">
                  <c:v>1342.5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37728"/>
        <c:axId val="110555904"/>
      </c:scatterChart>
      <c:valAx>
        <c:axId val="110537728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0555904"/>
        <c:crosses val="autoZero"/>
        <c:crossBetween val="midCat"/>
        <c:majorUnit val="45"/>
      </c:valAx>
      <c:valAx>
        <c:axId val="1105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37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 BG</c:v>
          </c:tx>
          <c:spPr>
            <a:ln w="28575">
              <a:noFill/>
            </a:ln>
          </c:spPr>
          <c:xVal>
            <c:numRef>
              <c:f>equator!$AF$2:$AF$169</c:f>
              <c:numCache>
                <c:formatCode>General</c:formatCode>
                <c:ptCount val="168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11">
                  <c:v>149.0625</c:v>
                </c:pt>
                <c:pt idx="14">
                  <c:v>149.0625</c:v>
                </c:pt>
                <c:pt idx="17">
                  <c:v>143.4375</c:v>
                </c:pt>
                <c:pt idx="22">
                  <c:v>126.5625</c:v>
                </c:pt>
                <c:pt idx="25">
                  <c:v>120.9375</c:v>
                </c:pt>
                <c:pt idx="31">
                  <c:v>137.8125</c:v>
                </c:pt>
                <c:pt idx="34">
                  <c:v>115.3125</c:v>
                </c:pt>
                <c:pt idx="37">
                  <c:v>104.0625</c:v>
                </c:pt>
                <c:pt idx="40">
                  <c:v>104.0625</c:v>
                </c:pt>
                <c:pt idx="43">
                  <c:v>154.6875</c:v>
                </c:pt>
                <c:pt idx="46">
                  <c:v>120.9375</c:v>
                </c:pt>
                <c:pt idx="49">
                  <c:v>98.4375</c:v>
                </c:pt>
                <c:pt idx="55">
                  <c:v>92.8125</c:v>
                </c:pt>
                <c:pt idx="61">
                  <c:v>70.3125</c:v>
                </c:pt>
                <c:pt idx="64">
                  <c:v>64.6875</c:v>
                </c:pt>
                <c:pt idx="71">
                  <c:v>14.0625</c:v>
                </c:pt>
                <c:pt idx="74">
                  <c:v>8.4375</c:v>
                </c:pt>
                <c:pt idx="80">
                  <c:v>2.8125</c:v>
                </c:pt>
                <c:pt idx="83">
                  <c:v>-2.8125</c:v>
                </c:pt>
                <c:pt idx="86">
                  <c:v>-8.4375</c:v>
                </c:pt>
                <c:pt idx="89">
                  <c:v>-14.0625</c:v>
                </c:pt>
                <c:pt idx="92">
                  <c:v>-19.6875</c:v>
                </c:pt>
                <c:pt idx="95">
                  <c:v>-25.3125</c:v>
                </c:pt>
                <c:pt idx="98">
                  <c:v>-25.3125</c:v>
                </c:pt>
                <c:pt idx="101">
                  <c:v>-30.9375</c:v>
                </c:pt>
                <c:pt idx="104">
                  <c:v>-30.9375</c:v>
                </c:pt>
                <c:pt idx="107">
                  <c:v>-36.5625</c:v>
                </c:pt>
                <c:pt idx="113">
                  <c:v>-36.5625</c:v>
                </c:pt>
                <c:pt idx="116">
                  <c:v>-42.1875</c:v>
                </c:pt>
                <c:pt idx="119">
                  <c:v>-47.8125</c:v>
                </c:pt>
                <c:pt idx="123">
                  <c:v>-75.9375</c:v>
                </c:pt>
                <c:pt idx="126">
                  <c:v>-81.5625</c:v>
                </c:pt>
                <c:pt idx="132">
                  <c:v>-109.6875</c:v>
                </c:pt>
                <c:pt idx="135">
                  <c:v>-115.3125</c:v>
                </c:pt>
                <c:pt idx="141">
                  <c:v>216.5625</c:v>
                </c:pt>
                <c:pt idx="147">
                  <c:v>154.6875</c:v>
                </c:pt>
                <c:pt idx="150">
                  <c:v>64.6875</c:v>
                </c:pt>
                <c:pt idx="156">
                  <c:v>30.9375</c:v>
                </c:pt>
                <c:pt idx="159">
                  <c:v>47.8125</c:v>
                </c:pt>
                <c:pt idx="162">
                  <c:v>14.0625</c:v>
                </c:pt>
                <c:pt idx="165">
                  <c:v>2.8125</c:v>
                </c:pt>
              </c:numCache>
            </c:numRef>
          </c:xVal>
          <c:yVal>
            <c:numRef>
              <c:f>equator!$AS$2:$AS$169</c:f>
              <c:numCache>
                <c:formatCode>General</c:formatCode>
                <c:ptCount val="168"/>
                <c:pt idx="0">
                  <c:v>225.5</c:v>
                </c:pt>
                <c:pt idx="3">
                  <c:v>181</c:v>
                </c:pt>
                <c:pt idx="6">
                  <c:v>158</c:v>
                </c:pt>
                <c:pt idx="11">
                  <c:v>205</c:v>
                </c:pt>
                <c:pt idx="14">
                  <c:v>216</c:v>
                </c:pt>
                <c:pt idx="17">
                  <c:v>46</c:v>
                </c:pt>
                <c:pt idx="22">
                  <c:v>199.8</c:v>
                </c:pt>
                <c:pt idx="25">
                  <c:v>258.16666666666669</c:v>
                </c:pt>
                <c:pt idx="31">
                  <c:v>222.8</c:v>
                </c:pt>
                <c:pt idx="34">
                  <c:v>219.7</c:v>
                </c:pt>
                <c:pt idx="37">
                  <c:v>207</c:v>
                </c:pt>
                <c:pt idx="40">
                  <c:v>164.2</c:v>
                </c:pt>
                <c:pt idx="43">
                  <c:v>179.55</c:v>
                </c:pt>
                <c:pt idx="46">
                  <c:v>194.95</c:v>
                </c:pt>
                <c:pt idx="49">
                  <c:v>159.33333333333337</c:v>
                </c:pt>
                <c:pt idx="55">
                  <c:v>247.66666666666669</c:v>
                </c:pt>
                <c:pt idx="61">
                  <c:v>219.9</c:v>
                </c:pt>
                <c:pt idx="64">
                  <c:v>180.8</c:v>
                </c:pt>
                <c:pt idx="71">
                  <c:v>151.4</c:v>
                </c:pt>
                <c:pt idx="74">
                  <c:v>143.83333333333334</c:v>
                </c:pt>
                <c:pt idx="80">
                  <c:v>111.4</c:v>
                </c:pt>
                <c:pt idx="83">
                  <c:v>172.4</c:v>
                </c:pt>
                <c:pt idx="86">
                  <c:v>209.3</c:v>
                </c:pt>
                <c:pt idx="89">
                  <c:v>124.1</c:v>
                </c:pt>
                <c:pt idx="92">
                  <c:v>168.6</c:v>
                </c:pt>
                <c:pt idx="95">
                  <c:v>128.6</c:v>
                </c:pt>
                <c:pt idx="98">
                  <c:v>124.9</c:v>
                </c:pt>
                <c:pt idx="101">
                  <c:v>125.8</c:v>
                </c:pt>
                <c:pt idx="104">
                  <c:v>71.349999999999994</c:v>
                </c:pt>
                <c:pt idx="107">
                  <c:v>103.16666666666666</c:v>
                </c:pt>
                <c:pt idx="113">
                  <c:v>101.2</c:v>
                </c:pt>
                <c:pt idx="116">
                  <c:v>61.2</c:v>
                </c:pt>
                <c:pt idx="119">
                  <c:v>118.75</c:v>
                </c:pt>
                <c:pt idx="123">
                  <c:v>89.8</c:v>
                </c:pt>
                <c:pt idx="126">
                  <c:v>82.075000000000003</c:v>
                </c:pt>
                <c:pt idx="132">
                  <c:v>95.15</c:v>
                </c:pt>
                <c:pt idx="135">
                  <c:v>110.16249999999999</c:v>
                </c:pt>
                <c:pt idx="141">
                  <c:v>90.0625</c:v>
                </c:pt>
                <c:pt idx="147">
                  <c:v>11.8</c:v>
                </c:pt>
                <c:pt idx="150">
                  <c:v>103.1</c:v>
                </c:pt>
                <c:pt idx="156">
                  <c:v>117.8</c:v>
                </c:pt>
                <c:pt idx="159">
                  <c:v>132.57894736842107</c:v>
                </c:pt>
                <c:pt idx="162">
                  <c:v>196.73684210526318</c:v>
                </c:pt>
                <c:pt idx="165">
                  <c:v>261.60000000000002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09600"/>
        <c:axId val="112011136"/>
      </c:scatterChart>
      <c:valAx>
        <c:axId val="112009600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2011136"/>
        <c:crosses val="autoZero"/>
        <c:crossBetween val="midCat"/>
        <c:majorUnit val="45"/>
      </c:valAx>
      <c:valAx>
        <c:axId val="11201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0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 BG</c:v>
          </c:tx>
          <c:spPr>
            <a:ln w="28575">
              <a:noFill/>
            </a:ln>
          </c:spPr>
          <c:xVal>
            <c:numRef>
              <c:f>equator!$AF$2:$AF$169</c:f>
              <c:numCache>
                <c:formatCode>General</c:formatCode>
                <c:ptCount val="168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11">
                  <c:v>149.0625</c:v>
                </c:pt>
                <c:pt idx="14">
                  <c:v>149.0625</c:v>
                </c:pt>
                <c:pt idx="17">
                  <c:v>143.4375</c:v>
                </c:pt>
                <c:pt idx="22">
                  <c:v>126.5625</c:v>
                </c:pt>
                <c:pt idx="25">
                  <c:v>120.9375</c:v>
                </c:pt>
                <c:pt idx="31">
                  <c:v>137.8125</c:v>
                </c:pt>
                <c:pt idx="34">
                  <c:v>115.3125</c:v>
                </c:pt>
                <c:pt idx="37">
                  <c:v>104.0625</c:v>
                </c:pt>
                <c:pt idx="40">
                  <c:v>104.0625</c:v>
                </c:pt>
                <c:pt idx="43">
                  <c:v>154.6875</c:v>
                </c:pt>
                <c:pt idx="46">
                  <c:v>120.9375</c:v>
                </c:pt>
                <c:pt idx="49">
                  <c:v>98.4375</c:v>
                </c:pt>
                <c:pt idx="55">
                  <c:v>92.8125</c:v>
                </c:pt>
                <c:pt idx="61">
                  <c:v>70.3125</c:v>
                </c:pt>
                <c:pt idx="64">
                  <c:v>64.6875</c:v>
                </c:pt>
                <c:pt idx="71">
                  <c:v>14.0625</c:v>
                </c:pt>
                <c:pt idx="74">
                  <c:v>8.4375</c:v>
                </c:pt>
                <c:pt idx="80">
                  <c:v>2.8125</c:v>
                </c:pt>
                <c:pt idx="83">
                  <c:v>-2.8125</c:v>
                </c:pt>
                <c:pt idx="86">
                  <c:v>-8.4375</c:v>
                </c:pt>
                <c:pt idx="89">
                  <c:v>-14.0625</c:v>
                </c:pt>
                <c:pt idx="92">
                  <c:v>-19.6875</c:v>
                </c:pt>
                <c:pt idx="95">
                  <c:v>-25.3125</c:v>
                </c:pt>
                <c:pt idx="98">
                  <c:v>-25.3125</c:v>
                </c:pt>
                <c:pt idx="101">
                  <c:v>-30.9375</c:v>
                </c:pt>
                <c:pt idx="104">
                  <c:v>-30.9375</c:v>
                </c:pt>
                <c:pt idx="107">
                  <c:v>-36.5625</c:v>
                </c:pt>
                <c:pt idx="113">
                  <c:v>-36.5625</c:v>
                </c:pt>
                <c:pt idx="116">
                  <c:v>-42.1875</c:v>
                </c:pt>
                <c:pt idx="119">
                  <c:v>-47.8125</c:v>
                </c:pt>
                <c:pt idx="123">
                  <c:v>-75.9375</c:v>
                </c:pt>
                <c:pt idx="126">
                  <c:v>-81.5625</c:v>
                </c:pt>
                <c:pt idx="132">
                  <c:v>-109.6875</c:v>
                </c:pt>
                <c:pt idx="135">
                  <c:v>-115.3125</c:v>
                </c:pt>
                <c:pt idx="141">
                  <c:v>216.5625</c:v>
                </c:pt>
                <c:pt idx="147">
                  <c:v>154.6875</c:v>
                </c:pt>
                <c:pt idx="150">
                  <c:v>64.6875</c:v>
                </c:pt>
                <c:pt idx="156">
                  <c:v>30.9375</c:v>
                </c:pt>
                <c:pt idx="159">
                  <c:v>47.8125</c:v>
                </c:pt>
                <c:pt idx="162">
                  <c:v>14.0625</c:v>
                </c:pt>
                <c:pt idx="165">
                  <c:v>2.8125</c:v>
                </c:pt>
              </c:numCache>
            </c:numRef>
          </c:xVal>
          <c:yVal>
            <c:numRef>
              <c:f>equator!$AT$2:$AT$169</c:f>
              <c:numCache>
                <c:formatCode>General</c:formatCode>
                <c:ptCount val="168"/>
                <c:pt idx="0">
                  <c:v>0</c:v>
                </c:pt>
                <c:pt idx="3">
                  <c:v>0</c:v>
                </c:pt>
                <c:pt idx="6">
                  <c:v>41</c:v>
                </c:pt>
                <c:pt idx="11">
                  <c:v>41</c:v>
                </c:pt>
                <c:pt idx="14">
                  <c:v>45</c:v>
                </c:pt>
                <c:pt idx="17">
                  <c:v>88.6</c:v>
                </c:pt>
                <c:pt idx="22">
                  <c:v>44.3</c:v>
                </c:pt>
                <c:pt idx="25">
                  <c:v>75.833333333333343</c:v>
                </c:pt>
                <c:pt idx="31">
                  <c:v>31.05</c:v>
                </c:pt>
                <c:pt idx="34">
                  <c:v>62.3</c:v>
                </c:pt>
                <c:pt idx="37">
                  <c:v>60.6</c:v>
                </c:pt>
                <c:pt idx="40">
                  <c:v>21.3</c:v>
                </c:pt>
                <c:pt idx="43">
                  <c:v>41.7</c:v>
                </c:pt>
                <c:pt idx="46">
                  <c:v>39.6</c:v>
                </c:pt>
                <c:pt idx="49">
                  <c:v>43.500000000000007</c:v>
                </c:pt>
                <c:pt idx="55">
                  <c:v>39.000000000000007</c:v>
                </c:pt>
                <c:pt idx="61">
                  <c:v>54.6</c:v>
                </c:pt>
                <c:pt idx="64">
                  <c:v>79.650000000000006</c:v>
                </c:pt>
                <c:pt idx="71">
                  <c:v>18.3</c:v>
                </c:pt>
                <c:pt idx="74">
                  <c:v>23.5</c:v>
                </c:pt>
                <c:pt idx="80">
                  <c:v>21.3</c:v>
                </c:pt>
                <c:pt idx="83">
                  <c:v>28.2</c:v>
                </c:pt>
                <c:pt idx="86">
                  <c:v>18.3</c:v>
                </c:pt>
                <c:pt idx="89">
                  <c:v>34.9</c:v>
                </c:pt>
                <c:pt idx="92">
                  <c:v>17.8</c:v>
                </c:pt>
                <c:pt idx="95">
                  <c:v>65.95</c:v>
                </c:pt>
                <c:pt idx="98">
                  <c:v>27.6</c:v>
                </c:pt>
                <c:pt idx="101">
                  <c:v>23.5</c:v>
                </c:pt>
                <c:pt idx="104">
                  <c:v>12.95</c:v>
                </c:pt>
                <c:pt idx="107">
                  <c:v>23</c:v>
                </c:pt>
                <c:pt idx="113">
                  <c:v>17.899999999999999</c:v>
                </c:pt>
                <c:pt idx="116">
                  <c:v>79.2</c:v>
                </c:pt>
                <c:pt idx="119">
                  <c:v>14.55</c:v>
                </c:pt>
                <c:pt idx="123">
                  <c:v>36.15</c:v>
                </c:pt>
                <c:pt idx="126">
                  <c:v>29.774999999999999</c:v>
                </c:pt>
                <c:pt idx="132">
                  <c:v>27.95</c:v>
                </c:pt>
                <c:pt idx="135">
                  <c:v>33.325000000000003</c:v>
                </c:pt>
                <c:pt idx="141">
                  <c:v>69.575000000000003</c:v>
                </c:pt>
                <c:pt idx="147">
                  <c:v>74.900000000000006</c:v>
                </c:pt>
                <c:pt idx="150">
                  <c:v>28.6</c:v>
                </c:pt>
                <c:pt idx="156">
                  <c:v>29.6</c:v>
                </c:pt>
                <c:pt idx="159">
                  <c:v>30.789473684210535</c:v>
                </c:pt>
                <c:pt idx="162">
                  <c:v>31.105263157894736</c:v>
                </c:pt>
                <c:pt idx="165">
                  <c:v>74.8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47616"/>
        <c:axId val="112049152"/>
      </c:scatterChart>
      <c:valAx>
        <c:axId val="112047616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2049152"/>
        <c:crosses val="autoZero"/>
        <c:crossBetween val="midCat"/>
        <c:majorUnit val="45"/>
      </c:valAx>
      <c:valAx>
        <c:axId val="11204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47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 back tot. - toroidal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Results!$AV$1</c:f>
              <c:strCache>
                <c:ptCount val="1"/>
                <c:pt idx="0">
                  <c:v>W back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Results!$AH$2:$AH$315</c:f>
              <c:numCache>
                <c:formatCode>General</c:formatCode>
                <c:ptCount val="314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Results!$AV$2:$AV$315</c:f>
              <c:numCache>
                <c:formatCode>General</c:formatCode>
                <c:ptCount val="3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41</c:v>
                </c:pt>
                <c:pt idx="14">
                  <c:v>41</c:v>
                </c:pt>
                <c:pt idx="17">
                  <c:v>45</c:v>
                </c:pt>
                <c:pt idx="20">
                  <c:v>119.3</c:v>
                </c:pt>
                <c:pt idx="23">
                  <c:v>88.6</c:v>
                </c:pt>
                <c:pt idx="28">
                  <c:v>44.3</c:v>
                </c:pt>
                <c:pt idx="31">
                  <c:v>140.5</c:v>
                </c:pt>
                <c:pt idx="34">
                  <c:v>89</c:v>
                </c:pt>
                <c:pt idx="37">
                  <c:v>75.833333333333343</c:v>
                </c:pt>
                <c:pt idx="43">
                  <c:v>15.75</c:v>
                </c:pt>
                <c:pt idx="46">
                  <c:v>33.049999999999997</c:v>
                </c:pt>
                <c:pt idx="49">
                  <c:v>31.05</c:v>
                </c:pt>
                <c:pt idx="52">
                  <c:v>62.3</c:v>
                </c:pt>
                <c:pt idx="55">
                  <c:v>60.6</c:v>
                </c:pt>
                <c:pt idx="58">
                  <c:v>21.3</c:v>
                </c:pt>
                <c:pt idx="61">
                  <c:v>23.3</c:v>
                </c:pt>
                <c:pt idx="64">
                  <c:v>151.6</c:v>
                </c:pt>
                <c:pt idx="67">
                  <c:v>52.65</c:v>
                </c:pt>
                <c:pt idx="70">
                  <c:v>41.7</c:v>
                </c:pt>
                <c:pt idx="73">
                  <c:v>64</c:v>
                </c:pt>
                <c:pt idx="76">
                  <c:v>41.95</c:v>
                </c:pt>
                <c:pt idx="79">
                  <c:v>61.4</c:v>
                </c:pt>
                <c:pt idx="82">
                  <c:v>39.6</c:v>
                </c:pt>
                <c:pt idx="85">
                  <c:v>52</c:v>
                </c:pt>
                <c:pt idx="88">
                  <c:v>62.8</c:v>
                </c:pt>
                <c:pt idx="91">
                  <c:v>43.500000000000007</c:v>
                </c:pt>
                <c:pt idx="97">
                  <c:v>59.5</c:v>
                </c:pt>
                <c:pt idx="100">
                  <c:v>39.000000000000007</c:v>
                </c:pt>
                <c:pt idx="106">
                  <c:v>54.6</c:v>
                </c:pt>
                <c:pt idx="109">
                  <c:v>63.5</c:v>
                </c:pt>
                <c:pt idx="112">
                  <c:v>79.650000000000006</c:v>
                </c:pt>
                <c:pt idx="119">
                  <c:v>18.3</c:v>
                </c:pt>
                <c:pt idx="122">
                  <c:v>33</c:v>
                </c:pt>
                <c:pt idx="125">
                  <c:v>23.5</c:v>
                </c:pt>
                <c:pt idx="131">
                  <c:v>21.3</c:v>
                </c:pt>
                <c:pt idx="134">
                  <c:v>28.2</c:v>
                </c:pt>
                <c:pt idx="137">
                  <c:v>18.3</c:v>
                </c:pt>
                <c:pt idx="140">
                  <c:v>34.9</c:v>
                </c:pt>
                <c:pt idx="143">
                  <c:v>17.8</c:v>
                </c:pt>
                <c:pt idx="146">
                  <c:v>75.849999999999994</c:v>
                </c:pt>
                <c:pt idx="149">
                  <c:v>83.75</c:v>
                </c:pt>
                <c:pt idx="152">
                  <c:v>45.6</c:v>
                </c:pt>
                <c:pt idx="155">
                  <c:v>37.85</c:v>
                </c:pt>
                <c:pt idx="158">
                  <c:v>65.95</c:v>
                </c:pt>
                <c:pt idx="161">
                  <c:v>27.6</c:v>
                </c:pt>
                <c:pt idx="164">
                  <c:v>20.100000000000001</c:v>
                </c:pt>
                <c:pt idx="167">
                  <c:v>26.2</c:v>
                </c:pt>
                <c:pt idx="170">
                  <c:v>16</c:v>
                </c:pt>
                <c:pt idx="171">
                  <c:v>30.2</c:v>
                </c:pt>
                <c:pt idx="174">
                  <c:v>23.5</c:v>
                </c:pt>
                <c:pt idx="177">
                  <c:v>12.95</c:v>
                </c:pt>
                <c:pt idx="180">
                  <c:v>40.299999999999997</c:v>
                </c:pt>
                <c:pt idx="184">
                  <c:v>23</c:v>
                </c:pt>
                <c:pt idx="190">
                  <c:v>17.899999999999999</c:v>
                </c:pt>
                <c:pt idx="193">
                  <c:v>79.2</c:v>
                </c:pt>
                <c:pt idx="196">
                  <c:v>14.55</c:v>
                </c:pt>
                <c:pt idx="200">
                  <c:v>36.15</c:v>
                </c:pt>
                <c:pt idx="203">
                  <c:v>22.15</c:v>
                </c:pt>
                <c:pt idx="206">
                  <c:v>29.774999999999999</c:v>
                </c:pt>
                <c:pt idx="212">
                  <c:v>27.95</c:v>
                </c:pt>
                <c:pt idx="215">
                  <c:v>38.1</c:v>
                </c:pt>
                <c:pt idx="218">
                  <c:v>33.325000000000003</c:v>
                </c:pt>
                <c:pt idx="224">
                  <c:v>43.3</c:v>
                </c:pt>
                <c:pt idx="227">
                  <c:v>69.575000000000003</c:v>
                </c:pt>
                <c:pt idx="233">
                  <c:v>81.95</c:v>
                </c:pt>
                <c:pt idx="236">
                  <c:v>59.8</c:v>
                </c:pt>
                <c:pt idx="239">
                  <c:v>74.900000000000006</c:v>
                </c:pt>
                <c:pt idx="242">
                  <c:v>35.1</c:v>
                </c:pt>
                <c:pt idx="245">
                  <c:v>45.7</c:v>
                </c:pt>
                <c:pt idx="248">
                  <c:v>37.700000000000003</c:v>
                </c:pt>
                <c:pt idx="251">
                  <c:v>221.6</c:v>
                </c:pt>
                <c:pt idx="254">
                  <c:v>129.19999999999999</c:v>
                </c:pt>
                <c:pt idx="257">
                  <c:v>74.5</c:v>
                </c:pt>
                <c:pt idx="260">
                  <c:v>28.6</c:v>
                </c:pt>
                <c:pt idx="263">
                  <c:v>28.2</c:v>
                </c:pt>
                <c:pt idx="266">
                  <c:v>32.700000000000003</c:v>
                </c:pt>
                <c:pt idx="269">
                  <c:v>137.80000000000001</c:v>
                </c:pt>
                <c:pt idx="272">
                  <c:v>165.6</c:v>
                </c:pt>
                <c:pt idx="278">
                  <c:v>29.6</c:v>
                </c:pt>
                <c:pt idx="281">
                  <c:v>30.789473684210535</c:v>
                </c:pt>
                <c:pt idx="284">
                  <c:v>31.105263157894736</c:v>
                </c:pt>
                <c:pt idx="287">
                  <c:v>93.95</c:v>
                </c:pt>
                <c:pt idx="290">
                  <c:v>131</c:v>
                </c:pt>
                <c:pt idx="293">
                  <c:v>84.2</c:v>
                </c:pt>
                <c:pt idx="296">
                  <c:v>58.15</c:v>
                </c:pt>
                <c:pt idx="299">
                  <c:v>74.8</c:v>
                </c:pt>
                <c:pt idx="302">
                  <c:v>63.5</c:v>
                </c:pt>
                <c:pt idx="305">
                  <c:v>39.299999999999997</c:v>
                </c:pt>
                <c:pt idx="308">
                  <c:v>59.8</c:v>
                </c:pt>
                <c:pt idx="311">
                  <c:v>89.85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49696"/>
        <c:axId val="106351232"/>
      </c:scatterChart>
      <c:valAx>
        <c:axId val="106349696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351232"/>
        <c:crosses val="autoZero"/>
        <c:crossBetween val="midCat"/>
        <c:majorUnit val="45"/>
      </c:valAx>
      <c:valAx>
        <c:axId val="10635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4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 back tot. - toroidal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Results!$AW$1</c:f>
              <c:strCache>
                <c:ptCount val="1"/>
                <c:pt idx="0">
                  <c:v>Ni back tot.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Results!$AH$2:$AH$315</c:f>
              <c:numCache>
                <c:formatCode>General</c:formatCode>
                <c:ptCount val="314"/>
                <c:pt idx="0">
                  <c:v>210.9375</c:v>
                </c:pt>
                <c:pt idx="3">
                  <c:v>194.0625</c:v>
                </c:pt>
                <c:pt idx="6">
                  <c:v>188.4375</c:v>
                </c:pt>
                <c:pt idx="9">
                  <c:v>188.4375</c:v>
                </c:pt>
                <c:pt idx="14">
                  <c:v>149.0625</c:v>
                </c:pt>
                <c:pt idx="17">
                  <c:v>149.0625</c:v>
                </c:pt>
                <c:pt idx="20">
                  <c:v>143.4375</c:v>
                </c:pt>
                <c:pt idx="23">
                  <c:v>143.4375</c:v>
                </c:pt>
                <c:pt idx="28">
                  <c:v>126.5625</c:v>
                </c:pt>
                <c:pt idx="31">
                  <c:v>120.9375</c:v>
                </c:pt>
                <c:pt idx="34">
                  <c:v>120.9375</c:v>
                </c:pt>
                <c:pt idx="37">
                  <c:v>120.9375</c:v>
                </c:pt>
                <c:pt idx="43">
                  <c:v>120.9375</c:v>
                </c:pt>
                <c:pt idx="46">
                  <c:v>120.9375</c:v>
                </c:pt>
                <c:pt idx="49">
                  <c:v>137.8125</c:v>
                </c:pt>
                <c:pt idx="52">
                  <c:v>115.3125</c:v>
                </c:pt>
                <c:pt idx="55">
                  <c:v>104.0625</c:v>
                </c:pt>
                <c:pt idx="58">
                  <c:v>104.0625</c:v>
                </c:pt>
                <c:pt idx="61">
                  <c:v>98.4375</c:v>
                </c:pt>
                <c:pt idx="64">
                  <c:v>154.6875</c:v>
                </c:pt>
                <c:pt idx="67">
                  <c:v>154.6875</c:v>
                </c:pt>
                <c:pt idx="70">
                  <c:v>154.6875</c:v>
                </c:pt>
                <c:pt idx="73">
                  <c:v>154.6875</c:v>
                </c:pt>
                <c:pt idx="76">
                  <c:v>120.9375</c:v>
                </c:pt>
                <c:pt idx="79">
                  <c:v>120.9375</c:v>
                </c:pt>
                <c:pt idx="82">
                  <c:v>120.9375</c:v>
                </c:pt>
                <c:pt idx="85">
                  <c:v>120.9375</c:v>
                </c:pt>
                <c:pt idx="88">
                  <c:v>120.9375</c:v>
                </c:pt>
                <c:pt idx="91">
                  <c:v>98.4375</c:v>
                </c:pt>
                <c:pt idx="97">
                  <c:v>92.8125</c:v>
                </c:pt>
                <c:pt idx="100">
                  <c:v>92.8125</c:v>
                </c:pt>
                <c:pt idx="106">
                  <c:v>70.3125</c:v>
                </c:pt>
                <c:pt idx="109">
                  <c:v>64.6875</c:v>
                </c:pt>
                <c:pt idx="112">
                  <c:v>64.6875</c:v>
                </c:pt>
                <c:pt idx="119">
                  <c:v>14.0625</c:v>
                </c:pt>
                <c:pt idx="122">
                  <c:v>8.4375</c:v>
                </c:pt>
                <c:pt idx="125">
                  <c:v>8.4375</c:v>
                </c:pt>
                <c:pt idx="131">
                  <c:v>2.8125</c:v>
                </c:pt>
                <c:pt idx="134">
                  <c:v>-2.8125</c:v>
                </c:pt>
                <c:pt idx="137">
                  <c:v>-8.4375</c:v>
                </c:pt>
                <c:pt idx="140">
                  <c:v>-14.0625</c:v>
                </c:pt>
                <c:pt idx="143">
                  <c:v>-19.6875</c:v>
                </c:pt>
                <c:pt idx="146">
                  <c:v>-25.3125</c:v>
                </c:pt>
                <c:pt idx="149">
                  <c:v>-25.3125</c:v>
                </c:pt>
                <c:pt idx="152">
                  <c:v>-25.3125</c:v>
                </c:pt>
                <c:pt idx="155">
                  <c:v>-25.3125</c:v>
                </c:pt>
                <c:pt idx="158">
                  <c:v>-25.3125</c:v>
                </c:pt>
                <c:pt idx="161">
                  <c:v>-25.3125</c:v>
                </c:pt>
                <c:pt idx="164">
                  <c:v>-25.3125</c:v>
                </c:pt>
                <c:pt idx="167">
                  <c:v>-25.3125</c:v>
                </c:pt>
                <c:pt idx="170">
                  <c:v>-25.3125</c:v>
                </c:pt>
                <c:pt idx="171">
                  <c:v>-25.3125</c:v>
                </c:pt>
                <c:pt idx="174">
                  <c:v>-30.9375</c:v>
                </c:pt>
                <c:pt idx="177">
                  <c:v>-30.9375</c:v>
                </c:pt>
                <c:pt idx="180">
                  <c:v>-36.5625</c:v>
                </c:pt>
                <c:pt idx="184">
                  <c:v>-36.5625</c:v>
                </c:pt>
                <c:pt idx="190">
                  <c:v>-36.5625</c:v>
                </c:pt>
                <c:pt idx="193">
                  <c:v>-42.1875</c:v>
                </c:pt>
                <c:pt idx="196">
                  <c:v>-47.8125</c:v>
                </c:pt>
                <c:pt idx="200">
                  <c:v>-75.9375</c:v>
                </c:pt>
                <c:pt idx="203">
                  <c:v>-81.5625</c:v>
                </c:pt>
                <c:pt idx="206">
                  <c:v>-81.5625</c:v>
                </c:pt>
                <c:pt idx="212">
                  <c:v>-109.6875</c:v>
                </c:pt>
                <c:pt idx="215">
                  <c:v>-115.3125</c:v>
                </c:pt>
                <c:pt idx="218">
                  <c:v>-115.3125</c:v>
                </c:pt>
                <c:pt idx="224">
                  <c:v>216.5625</c:v>
                </c:pt>
                <c:pt idx="227">
                  <c:v>216.5625</c:v>
                </c:pt>
                <c:pt idx="233">
                  <c:v>154.6875</c:v>
                </c:pt>
                <c:pt idx="236">
                  <c:v>154.6875</c:v>
                </c:pt>
                <c:pt idx="239">
                  <c:v>154.6875</c:v>
                </c:pt>
                <c:pt idx="242">
                  <c:v>154.6875</c:v>
                </c:pt>
                <c:pt idx="245">
                  <c:v>154.6875</c:v>
                </c:pt>
                <c:pt idx="248">
                  <c:v>154.6875</c:v>
                </c:pt>
                <c:pt idx="251">
                  <c:v>64.6875</c:v>
                </c:pt>
                <c:pt idx="254">
                  <c:v>64.6875</c:v>
                </c:pt>
                <c:pt idx="257">
                  <c:v>64.6875</c:v>
                </c:pt>
                <c:pt idx="260">
                  <c:v>64.6875</c:v>
                </c:pt>
                <c:pt idx="263">
                  <c:v>64.6875</c:v>
                </c:pt>
                <c:pt idx="266">
                  <c:v>64.6875</c:v>
                </c:pt>
                <c:pt idx="269">
                  <c:v>64.6875</c:v>
                </c:pt>
                <c:pt idx="272">
                  <c:v>64.6875</c:v>
                </c:pt>
                <c:pt idx="275">
                  <c:v>30.9375</c:v>
                </c:pt>
                <c:pt idx="278">
                  <c:v>30.9375</c:v>
                </c:pt>
                <c:pt idx="281">
                  <c:v>47.8125</c:v>
                </c:pt>
                <c:pt idx="284">
                  <c:v>14.0625</c:v>
                </c:pt>
                <c:pt idx="287">
                  <c:v>2.8125</c:v>
                </c:pt>
                <c:pt idx="290">
                  <c:v>2.8125</c:v>
                </c:pt>
                <c:pt idx="293">
                  <c:v>2.8125</c:v>
                </c:pt>
                <c:pt idx="296">
                  <c:v>2.8125</c:v>
                </c:pt>
                <c:pt idx="299">
                  <c:v>2.8125</c:v>
                </c:pt>
                <c:pt idx="302">
                  <c:v>2.8125</c:v>
                </c:pt>
                <c:pt idx="305">
                  <c:v>2.8125</c:v>
                </c:pt>
                <c:pt idx="308">
                  <c:v>2.8125</c:v>
                </c:pt>
                <c:pt idx="311">
                  <c:v>2.8125</c:v>
                </c:pt>
              </c:numCache>
            </c:numRef>
          </c:xVal>
          <c:yVal>
            <c:numRef>
              <c:f>Results!$AW$2:$AW$315</c:f>
              <c:numCache>
                <c:formatCode>General</c:formatCode>
                <c:ptCount val="3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1160</c:v>
                </c:pt>
                <c:pt idx="14">
                  <c:v>755</c:v>
                </c:pt>
                <c:pt idx="17">
                  <c:v>1600</c:v>
                </c:pt>
                <c:pt idx="20">
                  <c:v>2450</c:v>
                </c:pt>
                <c:pt idx="23">
                  <c:v>1800</c:v>
                </c:pt>
                <c:pt idx="28">
                  <c:v>1593</c:v>
                </c:pt>
                <c:pt idx="31">
                  <c:v>1482</c:v>
                </c:pt>
                <c:pt idx="34">
                  <c:v>1035</c:v>
                </c:pt>
                <c:pt idx="37">
                  <c:v>1763.3333333333335</c:v>
                </c:pt>
                <c:pt idx="43">
                  <c:v>752.5</c:v>
                </c:pt>
                <c:pt idx="46">
                  <c:v>910</c:v>
                </c:pt>
                <c:pt idx="49">
                  <c:v>1825</c:v>
                </c:pt>
                <c:pt idx="52">
                  <c:v>2028</c:v>
                </c:pt>
                <c:pt idx="55">
                  <c:v>1587</c:v>
                </c:pt>
                <c:pt idx="58">
                  <c:v>1175</c:v>
                </c:pt>
                <c:pt idx="61">
                  <c:v>1030</c:v>
                </c:pt>
                <c:pt idx="64">
                  <c:v>4143</c:v>
                </c:pt>
                <c:pt idx="67">
                  <c:v>4790</c:v>
                </c:pt>
                <c:pt idx="70">
                  <c:v>1870</c:v>
                </c:pt>
                <c:pt idx="73">
                  <c:v>2680</c:v>
                </c:pt>
                <c:pt idx="76">
                  <c:v>1055</c:v>
                </c:pt>
                <c:pt idx="79">
                  <c:v>1990</c:v>
                </c:pt>
                <c:pt idx="82">
                  <c:v>1787.5</c:v>
                </c:pt>
                <c:pt idx="85">
                  <c:v>2640</c:v>
                </c:pt>
                <c:pt idx="88">
                  <c:v>3140</c:v>
                </c:pt>
                <c:pt idx="91">
                  <c:v>1083.3333333333335</c:v>
                </c:pt>
                <c:pt idx="97">
                  <c:v>1060</c:v>
                </c:pt>
                <c:pt idx="100">
                  <c:v>1495.0000000000002</c:v>
                </c:pt>
                <c:pt idx="106">
                  <c:v>1035</c:v>
                </c:pt>
                <c:pt idx="109">
                  <c:v>1010</c:v>
                </c:pt>
                <c:pt idx="112">
                  <c:v>1958.5</c:v>
                </c:pt>
                <c:pt idx="119">
                  <c:v>835</c:v>
                </c:pt>
                <c:pt idx="122">
                  <c:v>890</c:v>
                </c:pt>
                <c:pt idx="125">
                  <c:v>1016.6666666666669</c:v>
                </c:pt>
                <c:pt idx="131">
                  <c:v>575</c:v>
                </c:pt>
                <c:pt idx="134">
                  <c:v>980</c:v>
                </c:pt>
                <c:pt idx="137">
                  <c:v>1120</c:v>
                </c:pt>
                <c:pt idx="140">
                  <c:v>990</c:v>
                </c:pt>
                <c:pt idx="143">
                  <c:v>875</c:v>
                </c:pt>
                <c:pt idx="146">
                  <c:v>1035</c:v>
                </c:pt>
                <c:pt idx="149">
                  <c:v>1487.5</c:v>
                </c:pt>
                <c:pt idx="152">
                  <c:v>1270</c:v>
                </c:pt>
                <c:pt idx="155">
                  <c:v>1092.5</c:v>
                </c:pt>
                <c:pt idx="158">
                  <c:v>1775</c:v>
                </c:pt>
                <c:pt idx="161">
                  <c:v>1010</c:v>
                </c:pt>
                <c:pt idx="164">
                  <c:v>763</c:v>
                </c:pt>
                <c:pt idx="167">
                  <c:v>1085</c:v>
                </c:pt>
                <c:pt idx="170">
                  <c:v>1300</c:v>
                </c:pt>
                <c:pt idx="171">
                  <c:v>2000</c:v>
                </c:pt>
                <c:pt idx="174">
                  <c:v>850</c:v>
                </c:pt>
                <c:pt idx="177">
                  <c:v>610</c:v>
                </c:pt>
                <c:pt idx="180">
                  <c:v>995</c:v>
                </c:pt>
                <c:pt idx="184">
                  <c:v>833.33333333333348</c:v>
                </c:pt>
                <c:pt idx="190">
                  <c:v>700</c:v>
                </c:pt>
                <c:pt idx="193">
                  <c:v>2525.6</c:v>
                </c:pt>
                <c:pt idx="196">
                  <c:v>740</c:v>
                </c:pt>
                <c:pt idx="200">
                  <c:v>820</c:v>
                </c:pt>
                <c:pt idx="203">
                  <c:v>790</c:v>
                </c:pt>
                <c:pt idx="206">
                  <c:v>1085</c:v>
                </c:pt>
                <c:pt idx="212">
                  <c:v>1610</c:v>
                </c:pt>
                <c:pt idx="215">
                  <c:v>1750</c:v>
                </c:pt>
                <c:pt idx="218">
                  <c:v>2008.75</c:v>
                </c:pt>
                <c:pt idx="224">
                  <c:v>1195</c:v>
                </c:pt>
                <c:pt idx="227">
                  <c:v>2432.5</c:v>
                </c:pt>
                <c:pt idx="233">
                  <c:v>3600</c:v>
                </c:pt>
                <c:pt idx="236">
                  <c:v>160</c:v>
                </c:pt>
                <c:pt idx="239">
                  <c:v>2165</c:v>
                </c:pt>
                <c:pt idx="242">
                  <c:v>2570</c:v>
                </c:pt>
                <c:pt idx="245">
                  <c:v>3045</c:v>
                </c:pt>
                <c:pt idx="248">
                  <c:v>3310</c:v>
                </c:pt>
                <c:pt idx="251">
                  <c:v>7480</c:v>
                </c:pt>
                <c:pt idx="254">
                  <c:v>2205</c:v>
                </c:pt>
                <c:pt idx="257">
                  <c:v>820</c:v>
                </c:pt>
                <c:pt idx="260">
                  <c:v>1345</c:v>
                </c:pt>
                <c:pt idx="263">
                  <c:v>1300</c:v>
                </c:pt>
                <c:pt idx="266">
                  <c:v>1670</c:v>
                </c:pt>
                <c:pt idx="269">
                  <c:v>4530</c:v>
                </c:pt>
                <c:pt idx="272">
                  <c:v>560</c:v>
                </c:pt>
                <c:pt idx="278">
                  <c:v>860</c:v>
                </c:pt>
                <c:pt idx="281">
                  <c:v>642.10526315789468</c:v>
                </c:pt>
                <c:pt idx="284">
                  <c:v>578.94736842105272</c:v>
                </c:pt>
                <c:pt idx="287">
                  <c:v>805</c:v>
                </c:pt>
                <c:pt idx="290">
                  <c:v>1060</c:v>
                </c:pt>
                <c:pt idx="293">
                  <c:v>910</c:v>
                </c:pt>
                <c:pt idx="296">
                  <c:v>855</c:v>
                </c:pt>
                <c:pt idx="299">
                  <c:v>1342.5</c:v>
                </c:pt>
                <c:pt idx="302">
                  <c:v>965</c:v>
                </c:pt>
                <c:pt idx="305">
                  <c:v>1127.5</c:v>
                </c:pt>
                <c:pt idx="308">
                  <c:v>700</c:v>
                </c:pt>
                <c:pt idx="311">
                  <c:v>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63136"/>
        <c:axId val="106438656"/>
      </c:scatterChart>
      <c:valAx>
        <c:axId val="106363136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438656"/>
        <c:crosses val="autoZero"/>
        <c:crossBetween val="midCat"/>
        <c:majorUnit val="45"/>
      </c:valAx>
      <c:valAx>
        <c:axId val="10643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63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 back tot. - poloidal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Results!$AU$1</c:f>
              <c:strCache>
                <c:ptCount val="1"/>
                <c:pt idx="0">
                  <c:v>Mo back tot.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4"/>
            <c:dispRSqr val="0"/>
            <c:dispEq val="0"/>
          </c:trendline>
          <c:xVal>
            <c:numRef>
              <c:f>Results!$AI$2:$AI$315</c:f>
              <c:numCache>
                <c:formatCode>General</c:formatCode>
                <c:ptCount val="314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Results!$AU$2:$AU$315</c:f>
              <c:numCache>
                <c:formatCode>General</c:formatCode>
                <c:ptCount val="314"/>
                <c:pt idx="0">
                  <c:v>225.5</c:v>
                </c:pt>
                <c:pt idx="3">
                  <c:v>181</c:v>
                </c:pt>
                <c:pt idx="6">
                  <c:v>119.25</c:v>
                </c:pt>
                <c:pt idx="9">
                  <c:v>158</c:v>
                </c:pt>
                <c:pt idx="14">
                  <c:v>205</c:v>
                </c:pt>
                <c:pt idx="17">
                  <c:v>216</c:v>
                </c:pt>
                <c:pt idx="20">
                  <c:v>152.19999999999999</c:v>
                </c:pt>
                <c:pt idx="23">
                  <c:v>46</c:v>
                </c:pt>
                <c:pt idx="28">
                  <c:v>199.8</c:v>
                </c:pt>
                <c:pt idx="31">
                  <c:v>8.9</c:v>
                </c:pt>
                <c:pt idx="34">
                  <c:v>294.5</c:v>
                </c:pt>
                <c:pt idx="37">
                  <c:v>258.16666666666669</c:v>
                </c:pt>
                <c:pt idx="43">
                  <c:v>53.45</c:v>
                </c:pt>
                <c:pt idx="46">
                  <c:v>92.9</c:v>
                </c:pt>
                <c:pt idx="49">
                  <c:v>222.8</c:v>
                </c:pt>
                <c:pt idx="52">
                  <c:v>219.7</c:v>
                </c:pt>
                <c:pt idx="55">
                  <c:v>207</c:v>
                </c:pt>
                <c:pt idx="58">
                  <c:v>164.2</c:v>
                </c:pt>
                <c:pt idx="61">
                  <c:v>162.9</c:v>
                </c:pt>
                <c:pt idx="64">
                  <c:v>32</c:v>
                </c:pt>
                <c:pt idx="67">
                  <c:v>230</c:v>
                </c:pt>
                <c:pt idx="70">
                  <c:v>179.55</c:v>
                </c:pt>
                <c:pt idx="73">
                  <c:v>100.8</c:v>
                </c:pt>
                <c:pt idx="76">
                  <c:v>182.85</c:v>
                </c:pt>
                <c:pt idx="79">
                  <c:v>225.8</c:v>
                </c:pt>
                <c:pt idx="82">
                  <c:v>194.95</c:v>
                </c:pt>
                <c:pt idx="85">
                  <c:v>161.30000000000001</c:v>
                </c:pt>
                <c:pt idx="88">
                  <c:v>178.3</c:v>
                </c:pt>
                <c:pt idx="91">
                  <c:v>159.33333333333337</c:v>
                </c:pt>
                <c:pt idx="97">
                  <c:v>248.3</c:v>
                </c:pt>
                <c:pt idx="100">
                  <c:v>247.66666666666669</c:v>
                </c:pt>
                <c:pt idx="106">
                  <c:v>219.9</c:v>
                </c:pt>
                <c:pt idx="109">
                  <c:v>60.5</c:v>
                </c:pt>
                <c:pt idx="112">
                  <c:v>180.8</c:v>
                </c:pt>
                <c:pt idx="119">
                  <c:v>151.4</c:v>
                </c:pt>
                <c:pt idx="122">
                  <c:v>157</c:v>
                </c:pt>
                <c:pt idx="125">
                  <c:v>143.83333333333334</c:v>
                </c:pt>
                <c:pt idx="131">
                  <c:v>111.4</c:v>
                </c:pt>
                <c:pt idx="134">
                  <c:v>172.4</c:v>
                </c:pt>
                <c:pt idx="137">
                  <c:v>209.3</c:v>
                </c:pt>
                <c:pt idx="140">
                  <c:v>124.1</c:v>
                </c:pt>
                <c:pt idx="143">
                  <c:v>168.6</c:v>
                </c:pt>
                <c:pt idx="146">
                  <c:v>212.55</c:v>
                </c:pt>
                <c:pt idx="149">
                  <c:v>99.25</c:v>
                </c:pt>
                <c:pt idx="152">
                  <c:v>93.45</c:v>
                </c:pt>
                <c:pt idx="155">
                  <c:v>115.2</c:v>
                </c:pt>
                <c:pt idx="158">
                  <c:v>128.6</c:v>
                </c:pt>
                <c:pt idx="161">
                  <c:v>124.9</c:v>
                </c:pt>
                <c:pt idx="164">
                  <c:v>159</c:v>
                </c:pt>
                <c:pt idx="167">
                  <c:v>209.9</c:v>
                </c:pt>
                <c:pt idx="170">
                  <c:v>286</c:v>
                </c:pt>
                <c:pt idx="171">
                  <c:v>290.60000000000002</c:v>
                </c:pt>
                <c:pt idx="174">
                  <c:v>125.8</c:v>
                </c:pt>
                <c:pt idx="177">
                  <c:v>71.349999999999994</c:v>
                </c:pt>
                <c:pt idx="180">
                  <c:v>90.4</c:v>
                </c:pt>
                <c:pt idx="184">
                  <c:v>103.16666666666666</c:v>
                </c:pt>
                <c:pt idx="190">
                  <c:v>101.2</c:v>
                </c:pt>
                <c:pt idx="193">
                  <c:v>61.2</c:v>
                </c:pt>
                <c:pt idx="196">
                  <c:v>118.75</c:v>
                </c:pt>
                <c:pt idx="200">
                  <c:v>89.8</c:v>
                </c:pt>
                <c:pt idx="203">
                  <c:v>87.5</c:v>
                </c:pt>
                <c:pt idx="206">
                  <c:v>82.075000000000003</c:v>
                </c:pt>
                <c:pt idx="212">
                  <c:v>95.15</c:v>
                </c:pt>
                <c:pt idx="215">
                  <c:v>45.5</c:v>
                </c:pt>
                <c:pt idx="218">
                  <c:v>110.16249999999999</c:v>
                </c:pt>
                <c:pt idx="224">
                  <c:v>65.55</c:v>
                </c:pt>
                <c:pt idx="227">
                  <c:v>90.0625</c:v>
                </c:pt>
                <c:pt idx="233">
                  <c:v>135.05000000000001</c:v>
                </c:pt>
                <c:pt idx="236">
                  <c:v>49.7</c:v>
                </c:pt>
                <c:pt idx="239">
                  <c:v>11.8</c:v>
                </c:pt>
                <c:pt idx="242">
                  <c:v>61.9</c:v>
                </c:pt>
                <c:pt idx="245">
                  <c:v>289.64999999999998</c:v>
                </c:pt>
                <c:pt idx="248">
                  <c:v>299.8</c:v>
                </c:pt>
                <c:pt idx="251">
                  <c:v>264.60000000000002</c:v>
                </c:pt>
                <c:pt idx="254">
                  <c:v>84</c:v>
                </c:pt>
                <c:pt idx="257">
                  <c:v>48.5</c:v>
                </c:pt>
                <c:pt idx="260">
                  <c:v>103.1</c:v>
                </c:pt>
                <c:pt idx="263">
                  <c:v>110.9</c:v>
                </c:pt>
                <c:pt idx="266">
                  <c:v>179.55</c:v>
                </c:pt>
                <c:pt idx="269">
                  <c:v>415.3</c:v>
                </c:pt>
                <c:pt idx="272">
                  <c:v>153.65</c:v>
                </c:pt>
                <c:pt idx="278">
                  <c:v>117.8</c:v>
                </c:pt>
                <c:pt idx="281">
                  <c:v>132.57894736842107</c:v>
                </c:pt>
                <c:pt idx="284">
                  <c:v>196.73684210526318</c:v>
                </c:pt>
                <c:pt idx="287">
                  <c:v>460.7</c:v>
                </c:pt>
                <c:pt idx="290">
                  <c:v>135.6</c:v>
                </c:pt>
                <c:pt idx="293">
                  <c:v>155</c:v>
                </c:pt>
                <c:pt idx="296">
                  <c:v>152.75</c:v>
                </c:pt>
                <c:pt idx="299">
                  <c:v>261.60000000000002</c:v>
                </c:pt>
                <c:pt idx="302">
                  <c:v>412.1</c:v>
                </c:pt>
                <c:pt idx="305">
                  <c:v>384.45</c:v>
                </c:pt>
                <c:pt idx="308">
                  <c:v>602</c:v>
                </c:pt>
                <c:pt idx="311">
                  <c:v>1121.1500000000001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73728"/>
        <c:axId val="106475520"/>
      </c:scatterChart>
      <c:valAx>
        <c:axId val="106473728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475520"/>
        <c:crosses val="autoZero"/>
        <c:crossBetween val="midCat"/>
        <c:majorUnit val="12"/>
      </c:valAx>
      <c:valAx>
        <c:axId val="10647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47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 back tot. - poloidal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Results!$AV$1</c:f>
              <c:strCache>
                <c:ptCount val="1"/>
                <c:pt idx="0">
                  <c:v>W back tot.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4"/>
            <c:dispRSqr val="0"/>
            <c:dispEq val="0"/>
          </c:trendline>
          <c:xVal>
            <c:numRef>
              <c:f>Results!$AI$2:$AI$315</c:f>
              <c:numCache>
                <c:formatCode>General</c:formatCode>
                <c:ptCount val="314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Results!$AV$2:$AV$315</c:f>
              <c:numCache>
                <c:formatCode>General</c:formatCode>
                <c:ptCount val="3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41</c:v>
                </c:pt>
                <c:pt idx="14">
                  <c:v>41</c:v>
                </c:pt>
                <c:pt idx="17">
                  <c:v>45</c:v>
                </c:pt>
                <c:pt idx="20">
                  <c:v>119.3</c:v>
                </c:pt>
                <c:pt idx="23">
                  <c:v>88.6</c:v>
                </c:pt>
                <c:pt idx="28">
                  <c:v>44.3</c:v>
                </c:pt>
                <c:pt idx="31">
                  <c:v>140.5</c:v>
                </c:pt>
                <c:pt idx="34">
                  <c:v>89</c:v>
                </c:pt>
                <c:pt idx="37">
                  <c:v>75.833333333333343</c:v>
                </c:pt>
                <c:pt idx="43">
                  <c:v>15.75</c:v>
                </c:pt>
                <c:pt idx="46">
                  <c:v>33.049999999999997</c:v>
                </c:pt>
                <c:pt idx="49">
                  <c:v>31.05</c:v>
                </c:pt>
                <c:pt idx="52">
                  <c:v>62.3</c:v>
                </c:pt>
                <c:pt idx="55">
                  <c:v>60.6</c:v>
                </c:pt>
                <c:pt idx="58">
                  <c:v>21.3</c:v>
                </c:pt>
                <c:pt idx="61">
                  <c:v>23.3</c:v>
                </c:pt>
                <c:pt idx="64">
                  <c:v>151.6</c:v>
                </c:pt>
                <c:pt idx="67">
                  <c:v>52.65</c:v>
                </c:pt>
                <c:pt idx="70">
                  <c:v>41.7</c:v>
                </c:pt>
                <c:pt idx="73">
                  <c:v>64</c:v>
                </c:pt>
                <c:pt idx="76">
                  <c:v>41.95</c:v>
                </c:pt>
                <c:pt idx="79">
                  <c:v>61.4</c:v>
                </c:pt>
                <c:pt idx="82">
                  <c:v>39.6</c:v>
                </c:pt>
                <c:pt idx="85">
                  <c:v>52</c:v>
                </c:pt>
                <c:pt idx="88">
                  <c:v>62.8</c:v>
                </c:pt>
                <c:pt idx="91">
                  <c:v>43.500000000000007</c:v>
                </c:pt>
                <c:pt idx="97">
                  <c:v>59.5</c:v>
                </c:pt>
                <c:pt idx="100">
                  <c:v>39.000000000000007</c:v>
                </c:pt>
                <c:pt idx="106">
                  <c:v>54.6</c:v>
                </c:pt>
                <c:pt idx="109">
                  <c:v>63.5</c:v>
                </c:pt>
                <c:pt idx="112">
                  <c:v>79.650000000000006</c:v>
                </c:pt>
                <c:pt idx="119">
                  <c:v>18.3</c:v>
                </c:pt>
                <c:pt idx="122">
                  <c:v>33</c:v>
                </c:pt>
                <c:pt idx="125">
                  <c:v>23.5</c:v>
                </c:pt>
                <c:pt idx="131">
                  <c:v>21.3</c:v>
                </c:pt>
                <c:pt idx="134">
                  <c:v>28.2</c:v>
                </c:pt>
                <c:pt idx="137">
                  <c:v>18.3</c:v>
                </c:pt>
                <c:pt idx="140">
                  <c:v>34.9</c:v>
                </c:pt>
                <c:pt idx="143">
                  <c:v>17.8</c:v>
                </c:pt>
                <c:pt idx="146">
                  <c:v>75.849999999999994</c:v>
                </c:pt>
                <c:pt idx="149">
                  <c:v>83.75</c:v>
                </c:pt>
                <c:pt idx="152">
                  <c:v>45.6</c:v>
                </c:pt>
                <c:pt idx="155">
                  <c:v>37.85</c:v>
                </c:pt>
                <c:pt idx="158">
                  <c:v>65.95</c:v>
                </c:pt>
                <c:pt idx="161">
                  <c:v>27.6</c:v>
                </c:pt>
                <c:pt idx="164">
                  <c:v>20.100000000000001</c:v>
                </c:pt>
                <c:pt idx="167">
                  <c:v>26.2</c:v>
                </c:pt>
                <c:pt idx="170">
                  <c:v>16</c:v>
                </c:pt>
                <c:pt idx="171">
                  <c:v>30.2</c:v>
                </c:pt>
                <c:pt idx="174">
                  <c:v>23.5</c:v>
                </c:pt>
                <c:pt idx="177">
                  <c:v>12.95</c:v>
                </c:pt>
                <c:pt idx="180">
                  <c:v>40.299999999999997</c:v>
                </c:pt>
                <c:pt idx="184">
                  <c:v>23</c:v>
                </c:pt>
                <c:pt idx="190">
                  <c:v>17.899999999999999</c:v>
                </c:pt>
                <c:pt idx="193">
                  <c:v>79.2</c:v>
                </c:pt>
                <c:pt idx="196">
                  <c:v>14.55</c:v>
                </c:pt>
                <c:pt idx="200">
                  <c:v>36.15</c:v>
                </c:pt>
                <c:pt idx="203">
                  <c:v>22.15</c:v>
                </c:pt>
                <c:pt idx="206">
                  <c:v>29.774999999999999</c:v>
                </c:pt>
                <c:pt idx="212">
                  <c:v>27.95</c:v>
                </c:pt>
                <c:pt idx="215">
                  <c:v>38.1</c:v>
                </c:pt>
                <c:pt idx="218">
                  <c:v>33.325000000000003</c:v>
                </c:pt>
                <c:pt idx="224">
                  <c:v>43.3</c:v>
                </c:pt>
                <c:pt idx="227">
                  <c:v>69.575000000000003</c:v>
                </c:pt>
                <c:pt idx="233">
                  <c:v>81.95</c:v>
                </c:pt>
                <c:pt idx="236">
                  <c:v>59.8</c:v>
                </c:pt>
                <c:pt idx="239">
                  <c:v>74.900000000000006</c:v>
                </c:pt>
                <c:pt idx="242">
                  <c:v>35.1</c:v>
                </c:pt>
                <c:pt idx="245">
                  <c:v>45.7</c:v>
                </c:pt>
                <c:pt idx="248">
                  <c:v>37.700000000000003</c:v>
                </c:pt>
                <c:pt idx="251">
                  <c:v>221.6</c:v>
                </c:pt>
                <c:pt idx="254">
                  <c:v>129.19999999999999</c:v>
                </c:pt>
                <c:pt idx="257">
                  <c:v>74.5</c:v>
                </c:pt>
                <c:pt idx="260">
                  <c:v>28.6</c:v>
                </c:pt>
                <c:pt idx="263">
                  <c:v>28.2</c:v>
                </c:pt>
                <c:pt idx="266">
                  <c:v>32.700000000000003</c:v>
                </c:pt>
                <c:pt idx="269">
                  <c:v>137.80000000000001</c:v>
                </c:pt>
                <c:pt idx="272">
                  <c:v>165.6</c:v>
                </c:pt>
                <c:pt idx="278">
                  <c:v>29.6</c:v>
                </c:pt>
                <c:pt idx="281">
                  <c:v>30.789473684210535</c:v>
                </c:pt>
                <c:pt idx="284">
                  <c:v>31.105263157894736</c:v>
                </c:pt>
                <c:pt idx="287">
                  <c:v>93.95</c:v>
                </c:pt>
                <c:pt idx="290">
                  <c:v>131</c:v>
                </c:pt>
                <c:pt idx="293">
                  <c:v>84.2</c:v>
                </c:pt>
                <c:pt idx="296">
                  <c:v>58.15</c:v>
                </c:pt>
                <c:pt idx="299">
                  <c:v>74.8</c:v>
                </c:pt>
                <c:pt idx="302">
                  <c:v>63.5</c:v>
                </c:pt>
                <c:pt idx="305">
                  <c:v>39.299999999999997</c:v>
                </c:pt>
                <c:pt idx="308">
                  <c:v>59.8</c:v>
                </c:pt>
                <c:pt idx="311">
                  <c:v>89.85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0992"/>
        <c:axId val="106182528"/>
      </c:scatterChart>
      <c:valAx>
        <c:axId val="106180992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182528"/>
        <c:crosses val="autoZero"/>
        <c:crossBetween val="midCat"/>
        <c:majorUnit val="12"/>
      </c:valAx>
      <c:valAx>
        <c:axId val="1061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8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 back tot. - poloidal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Results!$AW$1</c:f>
              <c:strCache>
                <c:ptCount val="1"/>
                <c:pt idx="0">
                  <c:v>Ni back tot.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4"/>
            <c:dispRSqr val="0"/>
            <c:dispEq val="0"/>
          </c:trendline>
          <c:xVal>
            <c:numRef>
              <c:f>Results!$AI$2:$AI$315</c:f>
              <c:numCache>
                <c:formatCode>General</c:formatCode>
                <c:ptCount val="314"/>
                <c:pt idx="0">
                  <c:v>174</c:v>
                </c:pt>
                <c:pt idx="3">
                  <c:v>174</c:v>
                </c:pt>
                <c:pt idx="6">
                  <c:v>162</c:v>
                </c:pt>
                <c:pt idx="9">
                  <c:v>174</c:v>
                </c:pt>
                <c:pt idx="14">
                  <c:v>174</c:v>
                </c:pt>
                <c:pt idx="17">
                  <c:v>186</c:v>
                </c:pt>
                <c:pt idx="20">
                  <c:v>162</c:v>
                </c:pt>
                <c:pt idx="23">
                  <c:v>174</c:v>
                </c:pt>
                <c:pt idx="28">
                  <c:v>186</c:v>
                </c:pt>
                <c:pt idx="31">
                  <c:v>126</c:v>
                </c:pt>
                <c:pt idx="34">
                  <c:v>150</c:v>
                </c:pt>
                <c:pt idx="37">
                  <c:v>174</c:v>
                </c:pt>
                <c:pt idx="43">
                  <c:v>198</c:v>
                </c:pt>
                <c:pt idx="46">
                  <c:v>222</c:v>
                </c:pt>
                <c:pt idx="49">
                  <c:v>186</c:v>
                </c:pt>
                <c:pt idx="52">
                  <c:v>186</c:v>
                </c:pt>
                <c:pt idx="55">
                  <c:v>174</c:v>
                </c:pt>
                <c:pt idx="58">
                  <c:v>186</c:v>
                </c:pt>
                <c:pt idx="61">
                  <c:v>162</c:v>
                </c:pt>
                <c:pt idx="64">
                  <c:v>138</c:v>
                </c:pt>
                <c:pt idx="67">
                  <c:v>162</c:v>
                </c:pt>
                <c:pt idx="70">
                  <c:v>186</c:v>
                </c:pt>
                <c:pt idx="73">
                  <c:v>210</c:v>
                </c:pt>
                <c:pt idx="76">
                  <c:v>138</c:v>
                </c:pt>
                <c:pt idx="79">
                  <c:v>162</c:v>
                </c:pt>
                <c:pt idx="82">
                  <c:v>186</c:v>
                </c:pt>
                <c:pt idx="85">
                  <c:v>210</c:v>
                </c:pt>
                <c:pt idx="88">
                  <c:v>234</c:v>
                </c:pt>
                <c:pt idx="91">
                  <c:v>174</c:v>
                </c:pt>
                <c:pt idx="97">
                  <c:v>162</c:v>
                </c:pt>
                <c:pt idx="100">
                  <c:v>174</c:v>
                </c:pt>
                <c:pt idx="106">
                  <c:v>174</c:v>
                </c:pt>
                <c:pt idx="109">
                  <c:v>162</c:v>
                </c:pt>
                <c:pt idx="112">
                  <c:v>174</c:v>
                </c:pt>
                <c:pt idx="119">
                  <c:v>174</c:v>
                </c:pt>
                <c:pt idx="122">
                  <c:v>162</c:v>
                </c:pt>
                <c:pt idx="125">
                  <c:v>174</c:v>
                </c:pt>
                <c:pt idx="131">
                  <c:v>186</c:v>
                </c:pt>
                <c:pt idx="134">
                  <c:v>186</c:v>
                </c:pt>
                <c:pt idx="137">
                  <c:v>186</c:v>
                </c:pt>
                <c:pt idx="140">
                  <c:v>186</c:v>
                </c:pt>
                <c:pt idx="143">
                  <c:v>186</c:v>
                </c:pt>
                <c:pt idx="146">
                  <c:v>126</c:v>
                </c:pt>
                <c:pt idx="149">
                  <c:v>138</c:v>
                </c:pt>
                <c:pt idx="152">
                  <c:v>150</c:v>
                </c:pt>
                <c:pt idx="155">
                  <c:v>162</c:v>
                </c:pt>
                <c:pt idx="158">
                  <c:v>174</c:v>
                </c:pt>
                <c:pt idx="161">
                  <c:v>186</c:v>
                </c:pt>
                <c:pt idx="164">
                  <c:v>198</c:v>
                </c:pt>
                <c:pt idx="167">
                  <c:v>210</c:v>
                </c:pt>
                <c:pt idx="170">
                  <c:v>222</c:v>
                </c:pt>
                <c:pt idx="171">
                  <c:v>234</c:v>
                </c:pt>
                <c:pt idx="174">
                  <c:v>174</c:v>
                </c:pt>
                <c:pt idx="177">
                  <c:v>186</c:v>
                </c:pt>
                <c:pt idx="180">
                  <c:v>162</c:v>
                </c:pt>
                <c:pt idx="184">
                  <c:v>174</c:v>
                </c:pt>
                <c:pt idx="190">
                  <c:v>186</c:v>
                </c:pt>
                <c:pt idx="193">
                  <c:v>186</c:v>
                </c:pt>
                <c:pt idx="196">
                  <c:v>186</c:v>
                </c:pt>
                <c:pt idx="200">
                  <c:v>174</c:v>
                </c:pt>
                <c:pt idx="203">
                  <c:v>162</c:v>
                </c:pt>
                <c:pt idx="206">
                  <c:v>174</c:v>
                </c:pt>
                <c:pt idx="212">
                  <c:v>174</c:v>
                </c:pt>
                <c:pt idx="215">
                  <c:v>162</c:v>
                </c:pt>
                <c:pt idx="218">
                  <c:v>174</c:v>
                </c:pt>
                <c:pt idx="224">
                  <c:v>162</c:v>
                </c:pt>
                <c:pt idx="227">
                  <c:v>174</c:v>
                </c:pt>
                <c:pt idx="233">
                  <c:v>126</c:v>
                </c:pt>
                <c:pt idx="236">
                  <c:v>150</c:v>
                </c:pt>
                <c:pt idx="239">
                  <c:v>174</c:v>
                </c:pt>
                <c:pt idx="242">
                  <c:v>198</c:v>
                </c:pt>
                <c:pt idx="245">
                  <c:v>222</c:v>
                </c:pt>
                <c:pt idx="248">
                  <c:v>234</c:v>
                </c:pt>
                <c:pt idx="251">
                  <c:v>126</c:v>
                </c:pt>
                <c:pt idx="254">
                  <c:v>138</c:v>
                </c:pt>
                <c:pt idx="257">
                  <c:v>150</c:v>
                </c:pt>
                <c:pt idx="260">
                  <c:v>186</c:v>
                </c:pt>
                <c:pt idx="263">
                  <c:v>198</c:v>
                </c:pt>
                <c:pt idx="266">
                  <c:v>210</c:v>
                </c:pt>
                <c:pt idx="269">
                  <c:v>222</c:v>
                </c:pt>
                <c:pt idx="272">
                  <c:v>234</c:v>
                </c:pt>
                <c:pt idx="275">
                  <c:v>186</c:v>
                </c:pt>
                <c:pt idx="278">
                  <c:v>186</c:v>
                </c:pt>
                <c:pt idx="281">
                  <c:v>186</c:v>
                </c:pt>
                <c:pt idx="284">
                  <c:v>186</c:v>
                </c:pt>
                <c:pt idx="287">
                  <c:v>126</c:v>
                </c:pt>
                <c:pt idx="290">
                  <c:v>138</c:v>
                </c:pt>
                <c:pt idx="293">
                  <c:v>150</c:v>
                </c:pt>
                <c:pt idx="296">
                  <c:v>162</c:v>
                </c:pt>
                <c:pt idx="299">
                  <c:v>174</c:v>
                </c:pt>
                <c:pt idx="302">
                  <c:v>198</c:v>
                </c:pt>
                <c:pt idx="305">
                  <c:v>210</c:v>
                </c:pt>
                <c:pt idx="308">
                  <c:v>222</c:v>
                </c:pt>
                <c:pt idx="311">
                  <c:v>234</c:v>
                </c:pt>
              </c:numCache>
            </c:numRef>
          </c:xVal>
          <c:yVal>
            <c:numRef>
              <c:f>Results!$AW$2:$AW$315</c:f>
              <c:numCache>
                <c:formatCode>General</c:formatCode>
                <c:ptCount val="3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1160</c:v>
                </c:pt>
                <c:pt idx="14">
                  <c:v>755</c:v>
                </c:pt>
                <c:pt idx="17">
                  <c:v>1600</c:v>
                </c:pt>
                <c:pt idx="20">
                  <c:v>2450</c:v>
                </c:pt>
                <c:pt idx="23">
                  <c:v>1800</c:v>
                </c:pt>
                <c:pt idx="28">
                  <c:v>1593</c:v>
                </c:pt>
                <c:pt idx="31">
                  <c:v>1482</c:v>
                </c:pt>
                <c:pt idx="34">
                  <c:v>1035</c:v>
                </c:pt>
                <c:pt idx="37">
                  <c:v>1763.3333333333335</c:v>
                </c:pt>
                <c:pt idx="43">
                  <c:v>752.5</c:v>
                </c:pt>
                <c:pt idx="46">
                  <c:v>910</c:v>
                </c:pt>
                <c:pt idx="49">
                  <c:v>1825</c:v>
                </c:pt>
                <c:pt idx="52">
                  <c:v>2028</c:v>
                </c:pt>
                <c:pt idx="55">
                  <c:v>1587</c:v>
                </c:pt>
                <c:pt idx="58">
                  <c:v>1175</c:v>
                </c:pt>
                <c:pt idx="61">
                  <c:v>1030</c:v>
                </c:pt>
                <c:pt idx="64">
                  <c:v>4143</c:v>
                </c:pt>
                <c:pt idx="67">
                  <c:v>4790</c:v>
                </c:pt>
                <c:pt idx="70">
                  <c:v>1870</c:v>
                </c:pt>
                <c:pt idx="73">
                  <c:v>2680</c:v>
                </c:pt>
                <c:pt idx="76">
                  <c:v>1055</c:v>
                </c:pt>
                <c:pt idx="79">
                  <c:v>1990</c:v>
                </c:pt>
                <c:pt idx="82">
                  <c:v>1787.5</c:v>
                </c:pt>
                <c:pt idx="85">
                  <c:v>2640</c:v>
                </c:pt>
                <c:pt idx="88">
                  <c:v>3140</c:v>
                </c:pt>
                <c:pt idx="91">
                  <c:v>1083.3333333333335</c:v>
                </c:pt>
                <c:pt idx="97">
                  <c:v>1060</c:v>
                </c:pt>
                <c:pt idx="100">
                  <c:v>1495.0000000000002</c:v>
                </c:pt>
                <c:pt idx="106">
                  <c:v>1035</c:v>
                </c:pt>
                <c:pt idx="109">
                  <c:v>1010</c:v>
                </c:pt>
                <c:pt idx="112">
                  <c:v>1958.5</c:v>
                </c:pt>
                <c:pt idx="119">
                  <c:v>835</c:v>
                </c:pt>
                <c:pt idx="122">
                  <c:v>890</c:v>
                </c:pt>
                <c:pt idx="125">
                  <c:v>1016.6666666666669</c:v>
                </c:pt>
                <c:pt idx="131">
                  <c:v>575</c:v>
                </c:pt>
                <c:pt idx="134">
                  <c:v>980</c:v>
                </c:pt>
                <c:pt idx="137">
                  <c:v>1120</c:v>
                </c:pt>
                <c:pt idx="140">
                  <c:v>990</c:v>
                </c:pt>
                <c:pt idx="143">
                  <c:v>875</c:v>
                </c:pt>
                <c:pt idx="146">
                  <c:v>1035</c:v>
                </c:pt>
                <c:pt idx="149">
                  <c:v>1487.5</c:v>
                </c:pt>
                <c:pt idx="152">
                  <c:v>1270</c:v>
                </c:pt>
                <c:pt idx="155">
                  <c:v>1092.5</c:v>
                </c:pt>
                <c:pt idx="158">
                  <c:v>1775</c:v>
                </c:pt>
                <c:pt idx="161">
                  <c:v>1010</c:v>
                </c:pt>
                <c:pt idx="164">
                  <c:v>763</c:v>
                </c:pt>
                <c:pt idx="167">
                  <c:v>1085</c:v>
                </c:pt>
                <c:pt idx="170">
                  <c:v>1300</c:v>
                </c:pt>
                <c:pt idx="171">
                  <c:v>2000</c:v>
                </c:pt>
                <c:pt idx="174">
                  <c:v>850</c:v>
                </c:pt>
                <c:pt idx="177">
                  <c:v>610</c:v>
                </c:pt>
                <c:pt idx="180">
                  <c:v>995</c:v>
                </c:pt>
                <c:pt idx="184">
                  <c:v>833.33333333333348</c:v>
                </c:pt>
                <c:pt idx="190">
                  <c:v>700</c:v>
                </c:pt>
                <c:pt idx="193">
                  <c:v>2525.6</c:v>
                </c:pt>
                <c:pt idx="196">
                  <c:v>740</c:v>
                </c:pt>
                <c:pt idx="200">
                  <c:v>820</c:v>
                </c:pt>
                <c:pt idx="203">
                  <c:v>790</c:v>
                </c:pt>
                <c:pt idx="206">
                  <c:v>1085</c:v>
                </c:pt>
                <c:pt idx="212">
                  <c:v>1610</c:v>
                </c:pt>
                <c:pt idx="215">
                  <c:v>1750</c:v>
                </c:pt>
                <c:pt idx="218">
                  <c:v>2008.75</c:v>
                </c:pt>
                <c:pt idx="224">
                  <c:v>1195</c:v>
                </c:pt>
                <c:pt idx="227">
                  <c:v>2432.5</c:v>
                </c:pt>
                <c:pt idx="233">
                  <c:v>3600</c:v>
                </c:pt>
                <c:pt idx="236">
                  <c:v>160</c:v>
                </c:pt>
                <c:pt idx="239">
                  <c:v>2165</c:v>
                </c:pt>
                <c:pt idx="242">
                  <c:v>2570</c:v>
                </c:pt>
                <c:pt idx="245">
                  <c:v>3045</c:v>
                </c:pt>
                <c:pt idx="248">
                  <c:v>3310</c:v>
                </c:pt>
                <c:pt idx="251">
                  <c:v>7480</c:v>
                </c:pt>
                <c:pt idx="254">
                  <c:v>2205</c:v>
                </c:pt>
                <c:pt idx="257">
                  <c:v>820</c:v>
                </c:pt>
                <c:pt idx="260">
                  <c:v>1345</c:v>
                </c:pt>
                <c:pt idx="263">
                  <c:v>1300</c:v>
                </c:pt>
                <c:pt idx="266">
                  <c:v>1670</c:v>
                </c:pt>
                <c:pt idx="269">
                  <c:v>4530</c:v>
                </c:pt>
                <c:pt idx="272">
                  <c:v>560</c:v>
                </c:pt>
                <c:pt idx="278">
                  <c:v>860</c:v>
                </c:pt>
                <c:pt idx="281">
                  <c:v>642.10526315789468</c:v>
                </c:pt>
                <c:pt idx="284">
                  <c:v>578.94736842105272</c:v>
                </c:pt>
                <c:pt idx="287">
                  <c:v>805</c:v>
                </c:pt>
                <c:pt idx="290">
                  <c:v>1060</c:v>
                </c:pt>
                <c:pt idx="293">
                  <c:v>910</c:v>
                </c:pt>
                <c:pt idx="296">
                  <c:v>855</c:v>
                </c:pt>
                <c:pt idx="299">
                  <c:v>1342.5</c:v>
                </c:pt>
                <c:pt idx="302">
                  <c:v>965</c:v>
                </c:pt>
                <c:pt idx="305">
                  <c:v>1127.5</c:v>
                </c:pt>
                <c:pt idx="308">
                  <c:v>700</c:v>
                </c:pt>
                <c:pt idx="311">
                  <c:v>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03392"/>
        <c:axId val="106221568"/>
      </c:scatterChart>
      <c:valAx>
        <c:axId val="106203392"/>
        <c:scaling>
          <c:orientation val="minMax"/>
          <c:max val="240"/>
          <c:min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221568"/>
        <c:crosses val="autoZero"/>
        <c:crossBetween val="midCat"/>
        <c:majorUnit val="12"/>
      </c:valAx>
      <c:valAx>
        <c:axId val="1062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0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width -</a:t>
            </a:r>
            <a:r>
              <a:rPr lang="en-US" baseline="0"/>
              <a:t> toroidal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Results!$AK$1</c:f>
              <c:strCache>
                <c:ptCount val="1"/>
                <c:pt idx="0">
                  <c:v>peak width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Results!$J$5:$J$315</c:f>
              <c:numCache>
                <c:formatCode>General</c:formatCode>
                <c:ptCount val="311"/>
                <c:pt idx="0">
                  <c:v>196.4139344262295</c:v>
                </c:pt>
                <c:pt idx="1">
                  <c:v>194.0625</c:v>
                </c:pt>
                <c:pt idx="2">
                  <c:v>191.7110655737705</c:v>
                </c:pt>
                <c:pt idx="3">
                  <c:v>190.7889344262295</c:v>
                </c:pt>
                <c:pt idx="4">
                  <c:v>188.4375</c:v>
                </c:pt>
                <c:pt idx="5">
                  <c:v>186.0860655737705</c:v>
                </c:pt>
                <c:pt idx="6">
                  <c:v>188.4375</c:v>
                </c:pt>
                <c:pt idx="7">
                  <c:v>188.4375</c:v>
                </c:pt>
                <c:pt idx="8">
                  <c:v>188.4375</c:v>
                </c:pt>
                <c:pt idx="9">
                  <c:v>188.4375</c:v>
                </c:pt>
                <c:pt idx="10">
                  <c:v>188.4375</c:v>
                </c:pt>
                <c:pt idx="11">
                  <c:v>151.42137096774195</c:v>
                </c:pt>
                <c:pt idx="12">
                  <c:v>149.0625</c:v>
                </c:pt>
                <c:pt idx="13">
                  <c:v>146.70362903225805</c:v>
                </c:pt>
                <c:pt idx="14">
                  <c:v>151.42500000000001</c:v>
                </c:pt>
                <c:pt idx="15">
                  <c:v>149.08499999999998</c:v>
                </c:pt>
                <c:pt idx="16">
                  <c:v>146.69999999999999</c:v>
                </c:pt>
                <c:pt idx="17">
                  <c:v>145.78512396694214</c:v>
                </c:pt>
                <c:pt idx="18">
                  <c:v>143.46074380165288</c:v>
                </c:pt>
                <c:pt idx="19">
                  <c:v>141.08987603305786</c:v>
                </c:pt>
                <c:pt idx="20">
                  <c:v>145.7889344262295</c:v>
                </c:pt>
                <c:pt idx="21">
                  <c:v>144.63627049180326</c:v>
                </c:pt>
                <c:pt idx="22">
                  <c:v>143.4375</c:v>
                </c:pt>
                <c:pt idx="23">
                  <c:v>142.23872950819674</c:v>
                </c:pt>
                <c:pt idx="24">
                  <c:v>141.13217213114754</c:v>
                </c:pt>
                <c:pt idx="25">
                  <c:v>124.21875</c:v>
                </c:pt>
                <c:pt idx="26">
                  <c:v>126.5625</c:v>
                </c:pt>
                <c:pt idx="27">
                  <c:v>128.90625</c:v>
                </c:pt>
                <c:pt idx="28">
                  <c:v>123.35387323943662</c:v>
                </c:pt>
                <c:pt idx="29">
                  <c:v>120.9375</c:v>
                </c:pt>
                <c:pt idx="30">
                  <c:v>118.52112676056338</c:v>
                </c:pt>
                <c:pt idx="31">
                  <c:v>123.30357142857143</c:v>
                </c:pt>
                <c:pt idx="32">
                  <c:v>120.9375</c:v>
                </c:pt>
                <c:pt idx="33">
                  <c:v>118.57142857142857</c:v>
                </c:pt>
                <c:pt idx="34">
                  <c:v>123.30000000000001</c:v>
                </c:pt>
                <c:pt idx="35">
                  <c:v>122.4</c:v>
                </c:pt>
                <c:pt idx="36">
                  <c:v>121.50000000000001</c:v>
                </c:pt>
                <c:pt idx="37">
                  <c:v>120.60000000000001</c:v>
                </c:pt>
                <c:pt idx="38">
                  <c:v>119.7</c:v>
                </c:pt>
                <c:pt idx="39">
                  <c:v>118.80000000000001</c:v>
                </c:pt>
                <c:pt idx="40">
                  <c:v>118.58231707317074</c:v>
                </c:pt>
                <c:pt idx="41">
                  <c:v>120.8689024390244</c:v>
                </c:pt>
                <c:pt idx="42">
                  <c:v>123.29268292682926</c:v>
                </c:pt>
                <c:pt idx="43">
                  <c:v>118.53260869565217</c:v>
                </c:pt>
                <c:pt idx="44">
                  <c:v>120.9375</c:v>
                </c:pt>
                <c:pt idx="45">
                  <c:v>123.34239130434783</c:v>
                </c:pt>
                <c:pt idx="46">
                  <c:v>135.46875</c:v>
                </c:pt>
                <c:pt idx="47">
                  <c:v>137.8125</c:v>
                </c:pt>
                <c:pt idx="48">
                  <c:v>140.15625</c:v>
                </c:pt>
                <c:pt idx="49">
                  <c:v>112.9610655737705</c:v>
                </c:pt>
                <c:pt idx="50">
                  <c:v>115.3125</c:v>
                </c:pt>
                <c:pt idx="51">
                  <c:v>117.6639344262295</c:v>
                </c:pt>
                <c:pt idx="52">
                  <c:v>106.42857142857143</c:v>
                </c:pt>
                <c:pt idx="53">
                  <c:v>104.0625</c:v>
                </c:pt>
                <c:pt idx="54">
                  <c:v>101.69642857142857</c:v>
                </c:pt>
                <c:pt idx="55">
                  <c:v>101.7110655737705</c:v>
                </c:pt>
                <c:pt idx="56">
                  <c:v>104.0625</c:v>
                </c:pt>
                <c:pt idx="57">
                  <c:v>106.4139344262295</c:v>
                </c:pt>
                <c:pt idx="58">
                  <c:v>100.77731092436974</c:v>
                </c:pt>
                <c:pt idx="59">
                  <c:v>98.461134453781526</c:v>
                </c:pt>
                <c:pt idx="60">
                  <c:v>96.097689075630257</c:v>
                </c:pt>
                <c:pt idx="61">
                  <c:v>157.08022388059703</c:v>
                </c:pt>
                <c:pt idx="62">
                  <c:v>154.6875</c:v>
                </c:pt>
                <c:pt idx="63">
                  <c:v>152.29477611940297</c:v>
                </c:pt>
                <c:pt idx="64">
                  <c:v>157.04637096774195</c:v>
                </c:pt>
                <c:pt idx="65">
                  <c:v>154.6875</c:v>
                </c:pt>
                <c:pt idx="66">
                  <c:v>152.32862903225805</c:v>
                </c:pt>
                <c:pt idx="67">
                  <c:v>157.01923076923077</c:v>
                </c:pt>
                <c:pt idx="68">
                  <c:v>154.66346153846155</c:v>
                </c:pt>
                <c:pt idx="69">
                  <c:v>152.35576923076923</c:v>
                </c:pt>
                <c:pt idx="70">
                  <c:v>152.314453125</c:v>
                </c:pt>
                <c:pt idx="71">
                  <c:v>154.6875</c:v>
                </c:pt>
                <c:pt idx="72">
                  <c:v>157.060546875</c:v>
                </c:pt>
                <c:pt idx="73">
                  <c:v>123.31730769230769</c:v>
                </c:pt>
                <c:pt idx="74">
                  <c:v>120.9375</c:v>
                </c:pt>
                <c:pt idx="75">
                  <c:v>118.55769230769231</c:v>
                </c:pt>
                <c:pt idx="76">
                  <c:v>123.28512396694214</c:v>
                </c:pt>
                <c:pt idx="77">
                  <c:v>120.68181818181817</c:v>
                </c:pt>
                <c:pt idx="78">
                  <c:v>118.58987603305786</c:v>
                </c:pt>
                <c:pt idx="79">
                  <c:v>118.60169491525424</c:v>
                </c:pt>
                <c:pt idx="80">
                  <c:v>120.9375</c:v>
                </c:pt>
                <c:pt idx="81">
                  <c:v>123.27330508474576</c:v>
                </c:pt>
                <c:pt idx="82">
                  <c:v>118.57862903225808</c:v>
                </c:pt>
                <c:pt idx="83">
                  <c:v>120.9375</c:v>
                </c:pt>
                <c:pt idx="84">
                  <c:v>123.29637096774192</c:v>
                </c:pt>
                <c:pt idx="85">
                  <c:v>123.34239130434783</c:v>
                </c:pt>
                <c:pt idx="86">
                  <c:v>120.9375</c:v>
                </c:pt>
                <c:pt idx="87">
                  <c:v>118.53260869565217</c:v>
                </c:pt>
                <c:pt idx="88">
                  <c:v>100.7889344262295</c:v>
                </c:pt>
                <c:pt idx="89">
                  <c:v>99.866803278688536</c:v>
                </c:pt>
                <c:pt idx="90">
                  <c:v>98.944672131147541</c:v>
                </c:pt>
                <c:pt idx="91">
                  <c:v>98.022540983606547</c:v>
                </c:pt>
                <c:pt idx="92">
                  <c:v>97.10040983606558</c:v>
                </c:pt>
                <c:pt idx="93">
                  <c:v>96.178278688524586</c:v>
                </c:pt>
                <c:pt idx="94">
                  <c:v>95.185546875</c:v>
                </c:pt>
                <c:pt idx="95">
                  <c:v>92.8125</c:v>
                </c:pt>
                <c:pt idx="96">
                  <c:v>90.439453125</c:v>
                </c:pt>
                <c:pt idx="97">
                  <c:v>90.461065573770497</c:v>
                </c:pt>
                <c:pt idx="98">
                  <c:v>91.383196721311464</c:v>
                </c:pt>
                <c:pt idx="99">
                  <c:v>92.305327868852459</c:v>
                </c:pt>
                <c:pt idx="100">
                  <c:v>93.227459016393453</c:v>
                </c:pt>
                <c:pt idx="101">
                  <c:v>94.14959016393442</c:v>
                </c:pt>
                <c:pt idx="102">
                  <c:v>95.071721311475414</c:v>
                </c:pt>
                <c:pt idx="103">
                  <c:v>72.660123966942137</c:v>
                </c:pt>
                <c:pt idx="104">
                  <c:v>70.28925619834709</c:v>
                </c:pt>
                <c:pt idx="105">
                  <c:v>67.964876033057863</c:v>
                </c:pt>
                <c:pt idx="106">
                  <c:v>67.038934426229503</c:v>
                </c:pt>
                <c:pt idx="107">
                  <c:v>64.6875</c:v>
                </c:pt>
                <c:pt idx="108">
                  <c:v>62.336065573770497</c:v>
                </c:pt>
                <c:pt idx="109">
                  <c:v>67.063953488372078</c:v>
                </c:pt>
                <c:pt idx="110">
                  <c:v>66.191860465116264</c:v>
                </c:pt>
                <c:pt idx="111">
                  <c:v>65.319767441860449</c:v>
                </c:pt>
                <c:pt idx="112">
                  <c:v>64.447674418604635</c:v>
                </c:pt>
                <c:pt idx="113">
                  <c:v>63.57558139534882</c:v>
                </c:pt>
                <c:pt idx="114">
                  <c:v>62.703488372093005</c:v>
                </c:pt>
                <c:pt idx="115">
                  <c:v>62.267441860465112</c:v>
                </c:pt>
                <c:pt idx="116">
                  <c:v>16.413934426229531</c:v>
                </c:pt>
                <c:pt idx="117">
                  <c:v>14.0625</c:v>
                </c:pt>
                <c:pt idx="118">
                  <c:v>11.711065573770469</c:v>
                </c:pt>
                <c:pt idx="119">
                  <c:v>10.785123966942137</c:v>
                </c:pt>
                <c:pt idx="120">
                  <c:v>8.4142561983470898</c:v>
                </c:pt>
                <c:pt idx="121">
                  <c:v>6.0433884297520706</c:v>
                </c:pt>
                <c:pt idx="122">
                  <c:v>10.604508196721298</c:v>
                </c:pt>
                <c:pt idx="123">
                  <c:v>9.6823770491803316</c:v>
                </c:pt>
                <c:pt idx="124">
                  <c:v>8.7602459016393368</c:v>
                </c:pt>
                <c:pt idx="125">
                  <c:v>7.8381147540983704</c:v>
                </c:pt>
                <c:pt idx="126">
                  <c:v>6.9159836065573757</c:v>
                </c:pt>
                <c:pt idx="127">
                  <c:v>5.9938524590163809</c:v>
                </c:pt>
                <c:pt idx="128">
                  <c:v>5.163934426229531</c:v>
                </c:pt>
                <c:pt idx="129">
                  <c:v>2.8125</c:v>
                </c:pt>
                <c:pt idx="130">
                  <c:v>0.46106557377046897</c:v>
                </c:pt>
                <c:pt idx="131">
                  <c:v>-5.0304878048780211</c:v>
                </c:pt>
                <c:pt idx="132">
                  <c:v>-2.8353658536585442</c:v>
                </c:pt>
                <c:pt idx="133">
                  <c:v>-0.45731707317071368</c:v>
                </c:pt>
                <c:pt idx="134">
                  <c:v>-6.0823170731707137</c:v>
                </c:pt>
                <c:pt idx="135">
                  <c:v>-8.4603658536585442</c:v>
                </c:pt>
                <c:pt idx="136">
                  <c:v>-10.838414634146346</c:v>
                </c:pt>
                <c:pt idx="137">
                  <c:v>-11.70362903225805</c:v>
                </c:pt>
                <c:pt idx="138">
                  <c:v>-14.0625</c:v>
                </c:pt>
                <c:pt idx="139">
                  <c:v>-16.42137096774195</c:v>
                </c:pt>
                <c:pt idx="140">
                  <c:v>-17.351694915254228</c:v>
                </c:pt>
                <c:pt idx="141">
                  <c:v>-19.6875</c:v>
                </c:pt>
                <c:pt idx="142">
                  <c:v>-22.023305084745772</c:v>
                </c:pt>
                <c:pt idx="143">
                  <c:v>-22.887931034482762</c:v>
                </c:pt>
                <c:pt idx="144">
                  <c:v>-25.331896551724128</c:v>
                </c:pt>
                <c:pt idx="145">
                  <c:v>-27.737068965517238</c:v>
                </c:pt>
                <c:pt idx="146">
                  <c:v>-22.913602941176464</c:v>
                </c:pt>
                <c:pt idx="147">
                  <c:v>-25.3125</c:v>
                </c:pt>
                <c:pt idx="148">
                  <c:v>-27.711397058823536</c:v>
                </c:pt>
                <c:pt idx="149">
                  <c:v>-22.936046511627893</c:v>
                </c:pt>
                <c:pt idx="150">
                  <c:v>-25.334302325581405</c:v>
                </c:pt>
                <c:pt idx="151">
                  <c:v>-27.688953488372107</c:v>
                </c:pt>
                <c:pt idx="152">
                  <c:v>-22.957317073170714</c:v>
                </c:pt>
                <c:pt idx="153">
                  <c:v>-25.335365853658544</c:v>
                </c:pt>
                <c:pt idx="154">
                  <c:v>-27.667682926829286</c:v>
                </c:pt>
                <c:pt idx="155">
                  <c:v>-22.961065573770469</c:v>
                </c:pt>
                <c:pt idx="156">
                  <c:v>-25.3125</c:v>
                </c:pt>
                <c:pt idx="157">
                  <c:v>-27.663934426229531</c:v>
                </c:pt>
                <c:pt idx="158">
                  <c:v>-22.957317073170714</c:v>
                </c:pt>
                <c:pt idx="159">
                  <c:v>-25.335365853658544</c:v>
                </c:pt>
                <c:pt idx="160">
                  <c:v>-27.667682926829286</c:v>
                </c:pt>
                <c:pt idx="161">
                  <c:v>-22.932692307692321</c:v>
                </c:pt>
                <c:pt idx="162">
                  <c:v>-25.225961538461519</c:v>
                </c:pt>
                <c:pt idx="163">
                  <c:v>-27.432692307692321</c:v>
                </c:pt>
                <c:pt idx="164">
                  <c:v>-22.939453125</c:v>
                </c:pt>
                <c:pt idx="165">
                  <c:v>-25.3125</c:v>
                </c:pt>
                <c:pt idx="166">
                  <c:v>-27.685546875</c:v>
                </c:pt>
                <c:pt idx="167">
                  <c:v>-23.00373134328359</c:v>
                </c:pt>
                <c:pt idx="168">
                  <c:v>-22.890625</c:v>
                </c:pt>
                <c:pt idx="169">
                  <c:v>-25.3125</c:v>
                </c:pt>
                <c:pt idx="170">
                  <c:v>-27.734375</c:v>
                </c:pt>
                <c:pt idx="171">
                  <c:v>-28.586065573770469</c:v>
                </c:pt>
                <c:pt idx="172">
                  <c:v>-30.9375</c:v>
                </c:pt>
                <c:pt idx="173">
                  <c:v>-33.288934426229503</c:v>
                </c:pt>
                <c:pt idx="174">
                  <c:v>-28.571428571428584</c:v>
                </c:pt>
                <c:pt idx="175">
                  <c:v>-30.9375</c:v>
                </c:pt>
                <c:pt idx="176">
                  <c:v>-33.303571428571388</c:v>
                </c:pt>
                <c:pt idx="177">
                  <c:v>-34.199999999999989</c:v>
                </c:pt>
                <c:pt idx="178">
                  <c:v>-36.58499999999998</c:v>
                </c:pt>
                <c:pt idx="179">
                  <c:v>-38.925000000000011</c:v>
                </c:pt>
                <c:pt idx="180">
                  <c:v>-38.925000000000011</c:v>
                </c:pt>
                <c:pt idx="181">
                  <c:v>-34.164959016393425</c:v>
                </c:pt>
                <c:pt idx="182">
                  <c:v>-35.08709016393442</c:v>
                </c:pt>
                <c:pt idx="183">
                  <c:v>-36.009221311475414</c:v>
                </c:pt>
                <c:pt idx="184">
                  <c:v>-36.931352459016409</c:v>
                </c:pt>
                <c:pt idx="185">
                  <c:v>-37.853483606557404</c:v>
                </c:pt>
                <c:pt idx="186">
                  <c:v>-38.775614754098399</c:v>
                </c:pt>
                <c:pt idx="187">
                  <c:v>-34.2266949152542</c:v>
                </c:pt>
                <c:pt idx="188">
                  <c:v>-36.5625</c:v>
                </c:pt>
                <c:pt idx="189">
                  <c:v>-38.8983050847458</c:v>
                </c:pt>
                <c:pt idx="190">
                  <c:v>-39.807692307692321</c:v>
                </c:pt>
                <c:pt idx="191">
                  <c:v>-42.1875</c:v>
                </c:pt>
                <c:pt idx="192">
                  <c:v>-44.567307692307679</c:v>
                </c:pt>
                <c:pt idx="193">
                  <c:v>-45.408266129032256</c:v>
                </c:pt>
                <c:pt idx="194">
                  <c:v>-45.45362903225805</c:v>
                </c:pt>
                <c:pt idx="195">
                  <c:v>-47.721774193548413</c:v>
                </c:pt>
                <c:pt idx="196">
                  <c:v>-49.899193548387075</c:v>
                </c:pt>
                <c:pt idx="197">
                  <c:v>-73.57862903225805</c:v>
                </c:pt>
                <c:pt idx="198">
                  <c:v>-75.9375</c:v>
                </c:pt>
                <c:pt idx="199">
                  <c:v>-78.29637096774195</c:v>
                </c:pt>
                <c:pt idx="200">
                  <c:v>-79.20362903225805</c:v>
                </c:pt>
                <c:pt idx="201">
                  <c:v>-81.5625</c:v>
                </c:pt>
                <c:pt idx="202">
                  <c:v>-83.92137096774195</c:v>
                </c:pt>
                <c:pt idx="203">
                  <c:v>-79.349385245901601</c:v>
                </c:pt>
                <c:pt idx="204">
                  <c:v>-80.271516393442596</c:v>
                </c:pt>
                <c:pt idx="205">
                  <c:v>-81.193647540983591</c:v>
                </c:pt>
                <c:pt idx="206">
                  <c:v>-82.115778688524586</c:v>
                </c:pt>
                <c:pt idx="207">
                  <c:v>-83.03790983606558</c:v>
                </c:pt>
                <c:pt idx="208">
                  <c:v>-83.960040983606575</c:v>
                </c:pt>
                <c:pt idx="209">
                  <c:v>-107.33987603305786</c:v>
                </c:pt>
                <c:pt idx="210">
                  <c:v>-109.71074380165288</c:v>
                </c:pt>
                <c:pt idx="211">
                  <c:v>-112.03512396694214</c:v>
                </c:pt>
                <c:pt idx="212">
                  <c:v>-112.96875</c:v>
                </c:pt>
                <c:pt idx="213">
                  <c:v>-115.3125</c:v>
                </c:pt>
                <c:pt idx="214">
                  <c:v>-117.65625</c:v>
                </c:pt>
                <c:pt idx="215">
                  <c:v>-112.96875</c:v>
                </c:pt>
                <c:pt idx="216">
                  <c:v>-113.90625</c:v>
                </c:pt>
                <c:pt idx="217">
                  <c:v>-114.84375</c:v>
                </c:pt>
                <c:pt idx="218">
                  <c:v>-115.78125</c:v>
                </c:pt>
                <c:pt idx="219">
                  <c:v>-116.71875</c:v>
                </c:pt>
                <c:pt idx="220">
                  <c:v>-117.65625</c:v>
                </c:pt>
                <c:pt idx="221">
                  <c:v>218.91012396694214</c:v>
                </c:pt>
                <c:pt idx="222">
                  <c:v>216.53925619834712</c:v>
                </c:pt>
                <c:pt idx="223">
                  <c:v>214.21487603305786</c:v>
                </c:pt>
                <c:pt idx="224">
                  <c:v>218.91012396694214</c:v>
                </c:pt>
                <c:pt idx="225">
                  <c:v>217.98037190082644</c:v>
                </c:pt>
                <c:pt idx="226">
                  <c:v>217.05061983471074</c:v>
                </c:pt>
                <c:pt idx="227">
                  <c:v>216.12086776859505</c:v>
                </c:pt>
                <c:pt idx="228">
                  <c:v>215.19111570247935</c:v>
                </c:pt>
                <c:pt idx="229">
                  <c:v>214.26136363636363</c:v>
                </c:pt>
                <c:pt idx="230">
                  <c:v>154.66783216783216</c:v>
                </c:pt>
                <c:pt idx="231">
                  <c:v>157.10664335664336</c:v>
                </c:pt>
                <c:pt idx="232">
                  <c:v>152.26835664335664</c:v>
                </c:pt>
                <c:pt idx="233">
                  <c:v>154.6875</c:v>
                </c:pt>
                <c:pt idx="234">
                  <c:v>157.060546875</c:v>
                </c:pt>
                <c:pt idx="235">
                  <c:v>152.314453125</c:v>
                </c:pt>
                <c:pt idx="236">
                  <c:v>154.71036585365852</c:v>
                </c:pt>
                <c:pt idx="237">
                  <c:v>157.04268292682926</c:v>
                </c:pt>
                <c:pt idx="238">
                  <c:v>152.42378048780489</c:v>
                </c:pt>
                <c:pt idx="239">
                  <c:v>154.82581967213116</c:v>
                </c:pt>
                <c:pt idx="240">
                  <c:v>157.0389344262295</c:v>
                </c:pt>
                <c:pt idx="241">
                  <c:v>152.3360655737705</c:v>
                </c:pt>
                <c:pt idx="242">
                  <c:v>154.66666666666669</c:v>
                </c:pt>
                <c:pt idx="243">
                  <c:v>157.08333333333331</c:v>
                </c:pt>
                <c:pt idx="244">
                  <c:v>152.29166666666669</c:v>
                </c:pt>
                <c:pt idx="245">
                  <c:v>154.6875</c:v>
                </c:pt>
                <c:pt idx="246">
                  <c:v>152.27112676056339</c:v>
                </c:pt>
                <c:pt idx="247">
                  <c:v>157.10387323943661</c:v>
                </c:pt>
                <c:pt idx="248">
                  <c:v>64.6875</c:v>
                </c:pt>
                <c:pt idx="249">
                  <c:v>67.109375</c:v>
                </c:pt>
                <c:pt idx="250">
                  <c:v>62.3828125</c:v>
                </c:pt>
                <c:pt idx="251">
                  <c:v>64.6875</c:v>
                </c:pt>
                <c:pt idx="252">
                  <c:v>62.294776119402997</c:v>
                </c:pt>
                <c:pt idx="253">
                  <c:v>67.080223880597003</c:v>
                </c:pt>
                <c:pt idx="254">
                  <c:v>64.6875</c:v>
                </c:pt>
                <c:pt idx="255">
                  <c:v>62.314453125</c:v>
                </c:pt>
                <c:pt idx="256">
                  <c:v>67.060546875</c:v>
                </c:pt>
                <c:pt idx="257">
                  <c:v>64.710365853658544</c:v>
                </c:pt>
                <c:pt idx="258">
                  <c:v>67.042682926829258</c:v>
                </c:pt>
                <c:pt idx="259">
                  <c:v>62.332317073170742</c:v>
                </c:pt>
                <c:pt idx="260">
                  <c:v>64.778225806451616</c:v>
                </c:pt>
                <c:pt idx="261">
                  <c:v>67.046370967741922</c:v>
                </c:pt>
                <c:pt idx="262">
                  <c:v>62.328629032258078</c:v>
                </c:pt>
                <c:pt idx="263">
                  <c:v>64.6875</c:v>
                </c:pt>
                <c:pt idx="264">
                  <c:v>67.060546875</c:v>
                </c:pt>
                <c:pt idx="265">
                  <c:v>62.314453125</c:v>
                </c:pt>
                <c:pt idx="266">
                  <c:v>64.6875</c:v>
                </c:pt>
                <c:pt idx="267">
                  <c:v>67.073863636363654</c:v>
                </c:pt>
                <c:pt idx="268">
                  <c:v>62.301136363636346</c:v>
                </c:pt>
                <c:pt idx="269">
                  <c:v>64.707167832167841</c:v>
                </c:pt>
                <c:pt idx="270">
                  <c:v>62.26835664335664</c:v>
                </c:pt>
                <c:pt idx="271">
                  <c:v>67.10664335664336</c:v>
                </c:pt>
                <c:pt idx="272">
                  <c:v>30.9375</c:v>
                </c:pt>
                <c:pt idx="273">
                  <c:v>33.28125</c:v>
                </c:pt>
                <c:pt idx="274">
                  <c:v>28.59375</c:v>
                </c:pt>
                <c:pt idx="275">
                  <c:v>30.9375</c:v>
                </c:pt>
                <c:pt idx="276">
                  <c:v>33.28125</c:v>
                </c:pt>
                <c:pt idx="277">
                  <c:v>28.59375</c:v>
                </c:pt>
                <c:pt idx="278">
                  <c:v>47.8125</c:v>
                </c:pt>
                <c:pt idx="279">
                  <c:v>50.163934426229503</c:v>
                </c:pt>
                <c:pt idx="280">
                  <c:v>45.461065573770497</c:v>
                </c:pt>
                <c:pt idx="281">
                  <c:v>14.03925619834709</c:v>
                </c:pt>
                <c:pt idx="282">
                  <c:v>16.410123966942137</c:v>
                </c:pt>
                <c:pt idx="283">
                  <c:v>11.714876033057863</c:v>
                </c:pt>
                <c:pt idx="284">
                  <c:v>2.7928321678321595</c:v>
                </c:pt>
                <c:pt idx="285">
                  <c:v>5.2316433566433886</c:v>
                </c:pt>
                <c:pt idx="286">
                  <c:v>0.39335664335661136</c:v>
                </c:pt>
                <c:pt idx="287">
                  <c:v>2.7916666666666572</c:v>
                </c:pt>
                <c:pt idx="288">
                  <c:v>5.2083333333333144</c:v>
                </c:pt>
                <c:pt idx="289">
                  <c:v>0.41666666666668561</c:v>
                </c:pt>
                <c:pt idx="290">
                  <c:v>2.7906976744185954</c:v>
                </c:pt>
                <c:pt idx="291">
                  <c:v>5.1889534883721069</c:v>
                </c:pt>
                <c:pt idx="292">
                  <c:v>0.4360465116278931</c:v>
                </c:pt>
                <c:pt idx="293">
                  <c:v>3.0561023622047117</c:v>
                </c:pt>
                <c:pt idx="294">
                  <c:v>5.1820866141732154</c:v>
                </c:pt>
                <c:pt idx="295">
                  <c:v>0.44291338582678463</c:v>
                </c:pt>
                <c:pt idx="296">
                  <c:v>2.8125</c:v>
                </c:pt>
                <c:pt idx="297">
                  <c:v>5.163934426229531</c:v>
                </c:pt>
                <c:pt idx="298">
                  <c:v>0.46106557377046897</c:v>
                </c:pt>
                <c:pt idx="299">
                  <c:v>2.7900000000000205</c:v>
                </c:pt>
                <c:pt idx="300">
                  <c:v>0.44999999999998863</c:v>
                </c:pt>
                <c:pt idx="301">
                  <c:v>5.1750000000000114</c:v>
                </c:pt>
                <c:pt idx="302">
                  <c:v>2.7906976744185954</c:v>
                </c:pt>
                <c:pt idx="303">
                  <c:v>5.1889534883721069</c:v>
                </c:pt>
                <c:pt idx="304">
                  <c:v>0.4360465116278931</c:v>
                </c:pt>
                <c:pt idx="305">
                  <c:v>2.8125</c:v>
                </c:pt>
                <c:pt idx="306">
                  <c:v>5.2113970588235361</c:v>
                </c:pt>
                <c:pt idx="307">
                  <c:v>0.4136029411764639</c:v>
                </c:pt>
                <c:pt idx="308">
                  <c:v>2.8125</c:v>
                </c:pt>
                <c:pt idx="309">
                  <c:v>0.390625</c:v>
                </c:pt>
                <c:pt idx="310">
                  <c:v>5.234375</c:v>
                </c:pt>
              </c:numCache>
            </c:numRef>
          </c:xVal>
          <c:yVal>
            <c:numRef>
              <c:f>Results!$AK$2:$AK$315</c:f>
              <c:numCache>
                <c:formatCode>General</c:formatCode>
                <c:ptCount val="3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600</c:v>
                </c:pt>
                <c:pt idx="10">
                  <c:v>600</c:v>
                </c:pt>
                <c:pt idx="11">
                  <c:v>500</c:v>
                </c:pt>
                <c:pt idx="12">
                  <c:v>400</c:v>
                </c:pt>
                <c:pt idx="13">
                  <c:v>500</c:v>
                </c:pt>
                <c:pt idx="14">
                  <c:v>700</c:v>
                </c:pt>
                <c:pt idx="15">
                  <c:v>500</c:v>
                </c:pt>
                <c:pt idx="16">
                  <c:v>700</c:v>
                </c:pt>
                <c:pt idx="17">
                  <c:v>400</c:v>
                </c:pt>
                <c:pt idx="18">
                  <c:v>600</c:v>
                </c:pt>
                <c:pt idx="19">
                  <c:v>700</c:v>
                </c:pt>
                <c:pt idx="20">
                  <c:v>600</c:v>
                </c:pt>
                <c:pt idx="21">
                  <c:v>900</c:v>
                </c:pt>
                <c:pt idx="22">
                  <c:v>500</c:v>
                </c:pt>
                <c:pt idx="23">
                  <c:v>700</c:v>
                </c:pt>
                <c:pt idx="24">
                  <c:v>1000</c:v>
                </c:pt>
                <c:pt idx="25">
                  <c:v>1000</c:v>
                </c:pt>
                <c:pt idx="26">
                  <c:v>1200</c:v>
                </c:pt>
                <c:pt idx="27">
                  <c:v>1400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600</c:v>
                </c:pt>
                <c:pt idx="35">
                  <c:v>600</c:v>
                </c:pt>
                <c:pt idx="36">
                  <c:v>800</c:v>
                </c:pt>
                <c:pt idx="37">
                  <c:v>600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800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1400</c:v>
                </c:pt>
                <c:pt idx="47">
                  <c:v>600</c:v>
                </c:pt>
                <c:pt idx="48">
                  <c:v>700</c:v>
                </c:pt>
                <c:pt idx="49">
                  <c:v>600</c:v>
                </c:pt>
                <c:pt idx="50">
                  <c:v>600</c:v>
                </c:pt>
                <c:pt idx="51">
                  <c:v>800</c:v>
                </c:pt>
                <c:pt idx="52">
                  <c:v>0</c:v>
                </c:pt>
                <c:pt idx="53">
                  <c:v>700</c:v>
                </c:pt>
                <c:pt idx="54">
                  <c:v>500</c:v>
                </c:pt>
                <c:pt idx="55">
                  <c:v>1000</c:v>
                </c:pt>
                <c:pt idx="56">
                  <c:v>600</c:v>
                </c:pt>
                <c:pt idx="57">
                  <c:v>800</c:v>
                </c:pt>
                <c:pt idx="58">
                  <c:v>800</c:v>
                </c:pt>
                <c:pt idx="59">
                  <c:v>600</c:v>
                </c:pt>
                <c:pt idx="60">
                  <c:v>600</c:v>
                </c:pt>
                <c:pt idx="61">
                  <c:v>700</c:v>
                </c:pt>
                <c:pt idx="62">
                  <c:v>700</c:v>
                </c:pt>
                <c:pt idx="63">
                  <c:v>600</c:v>
                </c:pt>
                <c:pt idx="64">
                  <c:v>1000</c:v>
                </c:pt>
                <c:pt idx="65">
                  <c:v>0</c:v>
                </c:pt>
                <c:pt idx="66">
                  <c:v>1100</c:v>
                </c:pt>
                <c:pt idx="67">
                  <c:v>600</c:v>
                </c:pt>
                <c:pt idx="68">
                  <c:v>1400</c:v>
                </c:pt>
                <c:pt idx="69">
                  <c:v>600</c:v>
                </c:pt>
                <c:pt idx="70">
                  <c:v>600</c:v>
                </c:pt>
                <c:pt idx="71">
                  <c:v>400</c:v>
                </c:pt>
                <c:pt idx="72">
                  <c:v>600</c:v>
                </c:pt>
                <c:pt idx="73">
                  <c:v>600</c:v>
                </c:pt>
                <c:pt idx="74">
                  <c:v>800</c:v>
                </c:pt>
                <c:pt idx="75">
                  <c:v>600</c:v>
                </c:pt>
                <c:pt idx="76">
                  <c:v>800</c:v>
                </c:pt>
                <c:pt idx="77">
                  <c:v>800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1100</c:v>
                </c:pt>
                <c:pt idx="82">
                  <c:v>600</c:v>
                </c:pt>
                <c:pt idx="83">
                  <c:v>1100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2700</c:v>
                </c:pt>
                <c:pt idx="89">
                  <c:v>600</c:v>
                </c:pt>
                <c:pt idx="90">
                  <c:v>600</c:v>
                </c:pt>
                <c:pt idx="91">
                  <c:v>1000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800</c:v>
                </c:pt>
                <c:pt idx="97">
                  <c:v>900</c:v>
                </c:pt>
                <c:pt idx="98">
                  <c:v>1000</c:v>
                </c:pt>
                <c:pt idx="99">
                  <c:v>700</c:v>
                </c:pt>
                <c:pt idx="100">
                  <c:v>600</c:v>
                </c:pt>
                <c:pt idx="101">
                  <c:v>600</c:v>
                </c:pt>
                <c:pt idx="102">
                  <c:v>600</c:v>
                </c:pt>
                <c:pt idx="103">
                  <c:v>800</c:v>
                </c:pt>
                <c:pt idx="104">
                  <c:v>800</c:v>
                </c:pt>
                <c:pt idx="105">
                  <c:v>500</c:v>
                </c:pt>
                <c:pt idx="106">
                  <c:v>500</c:v>
                </c:pt>
                <c:pt idx="107">
                  <c:v>700</c:v>
                </c:pt>
                <c:pt idx="108">
                  <c:v>500</c:v>
                </c:pt>
                <c:pt idx="109">
                  <c:v>700</c:v>
                </c:pt>
                <c:pt idx="110">
                  <c:v>1200</c:v>
                </c:pt>
                <c:pt idx="111">
                  <c:v>500</c:v>
                </c:pt>
                <c:pt idx="112">
                  <c:v>600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800</c:v>
                </c:pt>
                <c:pt idx="118">
                  <c:v>600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900</c:v>
                </c:pt>
                <c:pt idx="123">
                  <c:v>800</c:v>
                </c:pt>
                <c:pt idx="124">
                  <c:v>800</c:v>
                </c:pt>
                <c:pt idx="125">
                  <c:v>600</c:v>
                </c:pt>
                <c:pt idx="126">
                  <c:v>600</c:v>
                </c:pt>
                <c:pt idx="127">
                  <c:v>700</c:v>
                </c:pt>
                <c:pt idx="128">
                  <c:v>700</c:v>
                </c:pt>
                <c:pt idx="129">
                  <c:v>700</c:v>
                </c:pt>
                <c:pt idx="130">
                  <c:v>700</c:v>
                </c:pt>
                <c:pt idx="131">
                  <c:v>600</c:v>
                </c:pt>
                <c:pt idx="132">
                  <c:v>700</c:v>
                </c:pt>
                <c:pt idx="133">
                  <c:v>700</c:v>
                </c:pt>
                <c:pt idx="134">
                  <c:v>700</c:v>
                </c:pt>
                <c:pt idx="135">
                  <c:v>600</c:v>
                </c:pt>
                <c:pt idx="136">
                  <c:v>700</c:v>
                </c:pt>
                <c:pt idx="137">
                  <c:v>800</c:v>
                </c:pt>
                <c:pt idx="138">
                  <c:v>700</c:v>
                </c:pt>
                <c:pt idx="139">
                  <c:v>600</c:v>
                </c:pt>
                <c:pt idx="140">
                  <c:v>700</c:v>
                </c:pt>
                <c:pt idx="141">
                  <c:v>700</c:v>
                </c:pt>
                <c:pt idx="142">
                  <c:v>700</c:v>
                </c:pt>
                <c:pt idx="143">
                  <c:v>500</c:v>
                </c:pt>
                <c:pt idx="144">
                  <c:v>800</c:v>
                </c:pt>
                <c:pt idx="145">
                  <c:v>600</c:v>
                </c:pt>
                <c:pt idx="146">
                  <c:v>700</c:v>
                </c:pt>
                <c:pt idx="147">
                  <c:v>900</c:v>
                </c:pt>
                <c:pt idx="148">
                  <c:v>900</c:v>
                </c:pt>
                <c:pt idx="149">
                  <c:v>700</c:v>
                </c:pt>
                <c:pt idx="150">
                  <c:v>600</c:v>
                </c:pt>
                <c:pt idx="151">
                  <c:v>700</c:v>
                </c:pt>
                <c:pt idx="152">
                  <c:v>600</c:v>
                </c:pt>
                <c:pt idx="153">
                  <c:v>700</c:v>
                </c:pt>
                <c:pt idx="154">
                  <c:v>700</c:v>
                </c:pt>
                <c:pt idx="155">
                  <c:v>700</c:v>
                </c:pt>
                <c:pt idx="156">
                  <c:v>600</c:v>
                </c:pt>
                <c:pt idx="157">
                  <c:v>700</c:v>
                </c:pt>
                <c:pt idx="158">
                  <c:v>600</c:v>
                </c:pt>
                <c:pt idx="159">
                  <c:v>600</c:v>
                </c:pt>
                <c:pt idx="160">
                  <c:v>600</c:v>
                </c:pt>
                <c:pt idx="161">
                  <c:v>600</c:v>
                </c:pt>
                <c:pt idx="162">
                  <c:v>700</c:v>
                </c:pt>
                <c:pt idx="163">
                  <c:v>700</c:v>
                </c:pt>
                <c:pt idx="164">
                  <c:v>700</c:v>
                </c:pt>
                <c:pt idx="165">
                  <c:v>700</c:v>
                </c:pt>
                <c:pt idx="166">
                  <c:v>500</c:v>
                </c:pt>
                <c:pt idx="167">
                  <c:v>800</c:v>
                </c:pt>
                <c:pt idx="168">
                  <c:v>700</c:v>
                </c:pt>
                <c:pt idx="169">
                  <c:v>700</c:v>
                </c:pt>
                <c:pt idx="170">
                  <c:v>650</c:v>
                </c:pt>
                <c:pt idx="171">
                  <c:v>650</c:v>
                </c:pt>
                <c:pt idx="172">
                  <c:v>650</c:v>
                </c:pt>
                <c:pt idx="173">
                  <c:v>650</c:v>
                </c:pt>
                <c:pt idx="174">
                  <c:v>700</c:v>
                </c:pt>
                <c:pt idx="175">
                  <c:v>700</c:v>
                </c:pt>
                <c:pt idx="176">
                  <c:v>700</c:v>
                </c:pt>
                <c:pt idx="177">
                  <c:v>700</c:v>
                </c:pt>
                <c:pt idx="178">
                  <c:v>500</c:v>
                </c:pt>
                <c:pt idx="179">
                  <c:v>600</c:v>
                </c:pt>
                <c:pt idx="180">
                  <c:v>700</c:v>
                </c:pt>
                <c:pt idx="181">
                  <c:v>750</c:v>
                </c:pt>
                <c:pt idx="182">
                  <c:v>850</c:v>
                </c:pt>
                <c:pt idx="183">
                  <c:v>850</c:v>
                </c:pt>
                <c:pt idx="184">
                  <c:v>700</c:v>
                </c:pt>
                <c:pt idx="185">
                  <c:v>700</c:v>
                </c:pt>
                <c:pt idx="186">
                  <c:v>800</c:v>
                </c:pt>
                <c:pt idx="187">
                  <c:v>750</c:v>
                </c:pt>
                <c:pt idx="188">
                  <c:v>800</c:v>
                </c:pt>
                <c:pt idx="189">
                  <c:v>700</c:v>
                </c:pt>
                <c:pt idx="190">
                  <c:v>400</c:v>
                </c:pt>
                <c:pt idx="191">
                  <c:v>500</c:v>
                </c:pt>
                <c:pt idx="192">
                  <c:v>700</c:v>
                </c:pt>
                <c:pt idx="193">
                  <c:v>900</c:v>
                </c:pt>
                <c:pt idx="194">
                  <c:v>900</c:v>
                </c:pt>
                <c:pt idx="195">
                  <c:v>1200</c:v>
                </c:pt>
                <c:pt idx="196">
                  <c:v>600</c:v>
                </c:pt>
                <c:pt idx="197">
                  <c:v>600</c:v>
                </c:pt>
                <c:pt idx="198">
                  <c:v>600</c:v>
                </c:pt>
                <c:pt idx="199">
                  <c:v>800</c:v>
                </c:pt>
                <c:pt idx="200">
                  <c:v>600</c:v>
                </c:pt>
                <c:pt idx="201">
                  <c:v>700</c:v>
                </c:pt>
                <c:pt idx="202">
                  <c:v>1200</c:v>
                </c:pt>
                <c:pt idx="203">
                  <c:v>1200</c:v>
                </c:pt>
                <c:pt idx="204">
                  <c:v>1400</c:v>
                </c:pt>
                <c:pt idx="205">
                  <c:v>1000</c:v>
                </c:pt>
                <c:pt idx="206">
                  <c:v>1000</c:v>
                </c:pt>
                <c:pt idx="207">
                  <c:v>1100</c:v>
                </c:pt>
                <c:pt idx="208">
                  <c:v>700</c:v>
                </c:pt>
                <c:pt idx="209">
                  <c:v>700</c:v>
                </c:pt>
                <c:pt idx="210">
                  <c:v>700</c:v>
                </c:pt>
                <c:pt idx="211">
                  <c:v>650</c:v>
                </c:pt>
                <c:pt idx="212">
                  <c:v>700</c:v>
                </c:pt>
                <c:pt idx="213">
                  <c:v>700</c:v>
                </c:pt>
                <c:pt idx="214">
                  <c:v>700</c:v>
                </c:pt>
                <c:pt idx="215">
                  <c:v>700</c:v>
                </c:pt>
                <c:pt idx="216">
                  <c:v>800</c:v>
                </c:pt>
                <c:pt idx="217">
                  <c:v>700</c:v>
                </c:pt>
                <c:pt idx="218">
                  <c:v>700</c:v>
                </c:pt>
                <c:pt idx="219">
                  <c:v>700</c:v>
                </c:pt>
                <c:pt idx="220">
                  <c:v>700</c:v>
                </c:pt>
                <c:pt idx="221">
                  <c:v>800</c:v>
                </c:pt>
                <c:pt idx="222">
                  <c:v>700</c:v>
                </c:pt>
                <c:pt idx="223">
                  <c:v>600</c:v>
                </c:pt>
                <c:pt idx="224">
                  <c:v>600</c:v>
                </c:pt>
                <c:pt idx="225">
                  <c:v>600</c:v>
                </c:pt>
                <c:pt idx="226">
                  <c:v>750</c:v>
                </c:pt>
                <c:pt idx="227">
                  <c:v>600</c:v>
                </c:pt>
                <c:pt idx="228">
                  <c:v>400</c:v>
                </c:pt>
                <c:pt idx="229">
                  <c:v>600</c:v>
                </c:pt>
                <c:pt idx="230">
                  <c:v>1000</c:v>
                </c:pt>
                <c:pt idx="231">
                  <c:v>900</c:v>
                </c:pt>
                <c:pt idx="232">
                  <c:v>800</c:v>
                </c:pt>
                <c:pt idx="233">
                  <c:v>800</c:v>
                </c:pt>
                <c:pt idx="234">
                  <c:v>800</c:v>
                </c:pt>
                <c:pt idx="235">
                  <c:v>800</c:v>
                </c:pt>
                <c:pt idx="236">
                  <c:v>800</c:v>
                </c:pt>
                <c:pt idx="237">
                  <c:v>600</c:v>
                </c:pt>
                <c:pt idx="238">
                  <c:v>1000</c:v>
                </c:pt>
                <c:pt idx="239">
                  <c:v>1500</c:v>
                </c:pt>
                <c:pt idx="240">
                  <c:v>700</c:v>
                </c:pt>
                <c:pt idx="241">
                  <c:v>700</c:v>
                </c:pt>
                <c:pt idx="242">
                  <c:v>1600</c:v>
                </c:pt>
                <c:pt idx="243">
                  <c:v>600</c:v>
                </c:pt>
                <c:pt idx="244">
                  <c:v>600</c:v>
                </c:pt>
                <c:pt idx="245">
                  <c:v>1600</c:v>
                </c:pt>
                <c:pt idx="246">
                  <c:v>1000</c:v>
                </c:pt>
                <c:pt idx="247">
                  <c:v>1400</c:v>
                </c:pt>
                <c:pt idx="248">
                  <c:v>1000</c:v>
                </c:pt>
                <c:pt idx="249">
                  <c:v>700</c:v>
                </c:pt>
                <c:pt idx="250">
                  <c:v>700</c:v>
                </c:pt>
                <c:pt idx="251">
                  <c:v>1300</c:v>
                </c:pt>
                <c:pt idx="252">
                  <c:v>1000</c:v>
                </c:pt>
                <c:pt idx="253">
                  <c:v>1000</c:v>
                </c:pt>
                <c:pt idx="254">
                  <c:v>1200</c:v>
                </c:pt>
                <c:pt idx="255">
                  <c:v>800</c:v>
                </c:pt>
                <c:pt idx="256">
                  <c:v>1200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800</c:v>
                </c:pt>
                <c:pt idx="261">
                  <c:v>700</c:v>
                </c:pt>
                <c:pt idx="262">
                  <c:v>900</c:v>
                </c:pt>
                <c:pt idx="263">
                  <c:v>700</c:v>
                </c:pt>
                <c:pt idx="264">
                  <c:v>700</c:v>
                </c:pt>
                <c:pt idx="265">
                  <c:v>700</c:v>
                </c:pt>
                <c:pt idx="266">
                  <c:v>700</c:v>
                </c:pt>
                <c:pt idx="267">
                  <c:v>700</c:v>
                </c:pt>
                <c:pt idx="268">
                  <c:v>700</c:v>
                </c:pt>
                <c:pt idx="269">
                  <c:v>700</c:v>
                </c:pt>
                <c:pt idx="270">
                  <c:v>700</c:v>
                </c:pt>
                <c:pt idx="271">
                  <c:v>700</c:v>
                </c:pt>
                <c:pt idx="272">
                  <c:v>1000</c:v>
                </c:pt>
                <c:pt idx="273">
                  <c:v>700</c:v>
                </c:pt>
                <c:pt idx="274">
                  <c:v>800</c:v>
                </c:pt>
                <c:pt idx="278">
                  <c:v>600</c:v>
                </c:pt>
                <c:pt idx="279">
                  <c:v>700</c:v>
                </c:pt>
                <c:pt idx="280">
                  <c:v>700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700</c:v>
                </c:pt>
                <c:pt idx="286">
                  <c:v>700</c:v>
                </c:pt>
                <c:pt idx="287">
                  <c:v>1000</c:v>
                </c:pt>
                <c:pt idx="288">
                  <c:v>600</c:v>
                </c:pt>
                <c:pt idx="289">
                  <c:v>900</c:v>
                </c:pt>
                <c:pt idx="290">
                  <c:v>600</c:v>
                </c:pt>
                <c:pt idx="291">
                  <c:v>600</c:v>
                </c:pt>
                <c:pt idx="292">
                  <c:v>800</c:v>
                </c:pt>
                <c:pt idx="293">
                  <c:v>600</c:v>
                </c:pt>
                <c:pt idx="294">
                  <c:v>600</c:v>
                </c:pt>
                <c:pt idx="295">
                  <c:v>600</c:v>
                </c:pt>
                <c:pt idx="296">
                  <c:v>600</c:v>
                </c:pt>
                <c:pt idx="297">
                  <c:v>600</c:v>
                </c:pt>
                <c:pt idx="298">
                  <c:v>800</c:v>
                </c:pt>
                <c:pt idx="299">
                  <c:v>900</c:v>
                </c:pt>
                <c:pt idx="300">
                  <c:v>600</c:v>
                </c:pt>
                <c:pt idx="301">
                  <c:v>600</c:v>
                </c:pt>
                <c:pt idx="302">
                  <c:v>1200</c:v>
                </c:pt>
                <c:pt idx="303">
                  <c:v>800</c:v>
                </c:pt>
                <c:pt idx="304">
                  <c:v>600</c:v>
                </c:pt>
                <c:pt idx="305">
                  <c:v>800</c:v>
                </c:pt>
                <c:pt idx="306">
                  <c:v>600</c:v>
                </c:pt>
                <c:pt idx="307">
                  <c:v>800</c:v>
                </c:pt>
                <c:pt idx="308">
                  <c:v>1200</c:v>
                </c:pt>
                <c:pt idx="309">
                  <c:v>700</c:v>
                </c:pt>
                <c:pt idx="310">
                  <c:v>700</c:v>
                </c:pt>
                <c:pt idx="311">
                  <c:v>1300</c:v>
                </c:pt>
                <c:pt idx="312">
                  <c:v>700</c:v>
                </c:pt>
                <c:pt idx="313">
                  <c:v>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9872"/>
        <c:axId val="106241408"/>
      </c:scatterChart>
      <c:valAx>
        <c:axId val="106239872"/>
        <c:scaling>
          <c:orientation val="minMax"/>
          <c:max val="225"/>
          <c:min val="-13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241408"/>
        <c:crosses val="autoZero"/>
        <c:crossBetween val="midCat"/>
        <c:majorUnit val="45"/>
      </c:valAx>
      <c:valAx>
        <c:axId val="10624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39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1</xdr:row>
      <xdr:rowOff>152400</xdr:rowOff>
    </xdr:from>
    <xdr:to>
      <xdr:col>29</xdr:col>
      <xdr:colOff>2524125</xdr:colOff>
      <xdr:row>7</xdr:row>
      <xdr:rowOff>57150</xdr:rowOff>
    </xdr:to>
    <xdr:sp macro="" textlink="">
      <xdr:nvSpPr>
        <xdr:cNvPr id="2" name="TextBox 1"/>
        <xdr:cNvSpPr txBox="1"/>
      </xdr:nvSpPr>
      <xdr:spPr>
        <a:xfrm>
          <a:off x="14906625" y="361950"/>
          <a:ext cx="24860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Elements</a:t>
          </a:r>
          <a:r>
            <a:rPr lang="en-GB" sz="1100" b="1" baseline="0"/>
            <a:t> considered for all spectra:</a:t>
          </a:r>
        </a:p>
        <a:p>
          <a:r>
            <a:rPr lang="en-GB" sz="1100" b="1" baseline="0"/>
            <a:t>C, O, Ni (Inconel surrogate), Mo, W</a:t>
          </a:r>
        </a:p>
        <a:p>
          <a:r>
            <a:rPr lang="en-GB" sz="1100" b="0" baseline="0"/>
            <a:t>Elements considered for many spectra:</a:t>
          </a:r>
        </a:p>
        <a:p>
          <a:r>
            <a:rPr lang="en-GB" sz="1100" b="0" baseline="0"/>
            <a:t>B, C, N, O, Ni, Mo, W</a:t>
          </a:r>
        </a:p>
        <a:p>
          <a:r>
            <a:rPr lang="en-GB" sz="1100" i="1" baseline="0"/>
            <a:t>Elements considered for several spectra:</a:t>
          </a:r>
        </a:p>
        <a:p>
          <a:r>
            <a:rPr lang="en-GB" sz="1100" i="1"/>
            <a:t>B, N, O, F, Na, Al, Cl, Ca, Ti, Ni, Mo, W</a:t>
          </a:r>
        </a:p>
      </xdr:txBody>
    </xdr:sp>
    <xdr:clientData/>
  </xdr:twoCellAnchor>
  <xdr:twoCellAnchor>
    <xdr:from>
      <xdr:col>19</xdr:col>
      <xdr:colOff>323316</xdr:colOff>
      <xdr:row>20</xdr:row>
      <xdr:rowOff>111245</xdr:rowOff>
    </xdr:from>
    <xdr:to>
      <xdr:col>29</xdr:col>
      <xdr:colOff>1972235</xdr:colOff>
      <xdr:row>37</xdr:row>
      <xdr:rowOff>49001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313764</xdr:colOff>
      <xdr:row>4</xdr:row>
      <xdr:rowOff>57151</xdr:rowOff>
    </xdr:from>
    <xdr:to>
      <xdr:col>29</xdr:col>
      <xdr:colOff>2129117</xdr:colOff>
      <xdr:row>20</xdr:row>
      <xdr:rowOff>32499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16248</xdr:colOff>
      <xdr:row>41</xdr:row>
      <xdr:rowOff>53788</xdr:rowOff>
    </xdr:from>
    <xdr:to>
      <xdr:col>58</xdr:col>
      <xdr:colOff>452157</xdr:colOff>
      <xdr:row>54</xdr:row>
      <xdr:rowOff>149038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0</xdr:colOff>
      <xdr:row>54</xdr:row>
      <xdr:rowOff>190500</xdr:rowOff>
    </xdr:from>
    <xdr:to>
      <xdr:col>57</xdr:col>
      <xdr:colOff>304800</xdr:colOff>
      <xdr:row>68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722218</xdr:colOff>
      <xdr:row>67</xdr:row>
      <xdr:rowOff>198345</xdr:rowOff>
    </xdr:from>
    <xdr:to>
      <xdr:col>58</xdr:col>
      <xdr:colOff>418539</xdr:colOff>
      <xdr:row>81</xdr:row>
      <xdr:rowOff>4483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57</xdr:col>
      <xdr:colOff>314325</xdr:colOff>
      <xdr:row>41</xdr:row>
      <xdr:rowOff>66675</xdr:rowOff>
    </xdr:from>
    <xdr:to>
      <xdr:col>65</xdr:col>
      <xdr:colOff>9525</xdr:colOff>
      <xdr:row>54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57</xdr:col>
      <xdr:colOff>323850</xdr:colOff>
      <xdr:row>54</xdr:row>
      <xdr:rowOff>200025</xdr:rowOff>
    </xdr:from>
    <xdr:to>
      <xdr:col>65</xdr:col>
      <xdr:colOff>19050</xdr:colOff>
      <xdr:row>68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57</xdr:col>
      <xdr:colOff>314325</xdr:colOff>
      <xdr:row>68</xdr:row>
      <xdr:rowOff>9525</xdr:rowOff>
    </xdr:from>
    <xdr:to>
      <xdr:col>65</xdr:col>
      <xdr:colOff>9525</xdr:colOff>
      <xdr:row>81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</xdr:colOff>
      <xdr:row>27</xdr:row>
      <xdr:rowOff>123825</xdr:rowOff>
    </xdr:from>
    <xdr:to>
      <xdr:col>57</xdr:col>
      <xdr:colOff>314325</xdr:colOff>
      <xdr:row>40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57</xdr:col>
      <xdr:colOff>323850</xdr:colOff>
      <xdr:row>27</xdr:row>
      <xdr:rowOff>114300</xdr:rowOff>
    </xdr:from>
    <xdr:to>
      <xdr:col>65</xdr:col>
      <xdr:colOff>19050</xdr:colOff>
      <xdr:row>40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19050</xdr:colOff>
      <xdr:row>1</xdr:row>
      <xdr:rowOff>28575</xdr:rowOff>
    </xdr:from>
    <xdr:to>
      <xdr:col>57</xdr:col>
      <xdr:colOff>323850</xdr:colOff>
      <xdr:row>14</xdr:row>
      <xdr:rowOff>47625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333375</xdr:colOff>
      <xdr:row>1</xdr:row>
      <xdr:rowOff>28575</xdr:rowOff>
    </xdr:from>
    <xdr:to>
      <xdr:col>65</xdr:col>
      <xdr:colOff>19050</xdr:colOff>
      <xdr:row>14</xdr:row>
      <xdr:rowOff>47625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50</xdr:col>
      <xdr:colOff>244288</xdr:colOff>
      <xdr:row>3</xdr:row>
      <xdr:rowOff>142875</xdr:rowOff>
    </xdr:from>
    <xdr:to>
      <xdr:col>57</xdr:col>
      <xdr:colOff>72838</xdr:colOff>
      <xdr:row>12</xdr:row>
      <xdr:rowOff>19050</xdr:rowOff>
    </xdr:to>
    <xdr:sp macro="" textlink="">
      <xdr:nvSpPr>
        <xdr:cNvPr id="18" name="Rectangle 17"/>
        <xdr:cNvSpPr/>
      </xdr:nvSpPr>
      <xdr:spPr>
        <a:xfrm>
          <a:off x="29906259" y="781610"/>
          <a:ext cx="4064373" cy="1792381"/>
        </a:xfrm>
        <a:prstGeom prst="rect">
          <a:avLst/>
        </a:prstGeom>
        <a:solidFill>
          <a:srgbClr val="92D05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19050</xdr:colOff>
      <xdr:row>14</xdr:row>
      <xdr:rowOff>66675</xdr:rowOff>
    </xdr:from>
    <xdr:to>
      <xdr:col>57</xdr:col>
      <xdr:colOff>323850</xdr:colOff>
      <xdr:row>27</xdr:row>
      <xdr:rowOff>85725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57</xdr:col>
      <xdr:colOff>314325</xdr:colOff>
      <xdr:row>14</xdr:row>
      <xdr:rowOff>57150</xdr:rowOff>
    </xdr:from>
    <xdr:to>
      <xdr:col>65</xdr:col>
      <xdr:colOff>0</xdr:colOff>
      <xdr:row>27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58</xdr:col>
      <xdr:colOff>146237</xdr:colOff>
      <xdr:row>3</xdr:row>
      <xdr:rowOff>131669</xdr:rowOff>
    </xdr:from>
    <xdr:to>
      <xdr:col>64</xdr:col>
      <xdr:colOff>412937</xdr:colOff>
      <xdr:row>12</xdr:row>
      <xdr:rowOff>7844</xdr:rowOff>
    </xdr:to>
    <xdr:sp macro="" textlink="">
      <xdr:nvSpPr>
        <xdr:cNvPr id="19" name="Rectangle 18"/>
        <xdr:cNvSpPr/>
      </xdr:nvSpPr>
      <xdr:spPr>
        <a:xfrm>
          <a:off x="34649149" y="770404"/>
          <a:ext cx="3897406" cy="1792381"/>
        </a:xfrm>
        <a:prstGeom prst="rect">
          <a:avLst/>
        </a:prstGeom>
        <a:solidFill>
          <a:srgbClr val="92D05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161925</xdr:colOff>
      <xdr:row>16</xdr:row>
      <xdr:rowOff>180976</xdr:rowOff>
    </xdr:from>
    <xdr:to>
      <xdr:col>64</xdr:col>
      <xdr:colOff>371475</xdr:colOff>
      <xdr:row>24</xdr:row>
      <xdr:rowOff>47626</xdr:rowOff>
    </xdr:to>
    <xdr:sp macro="" textlink="">
      <xdr:nvSpPr>
        <xdr:cNvPr id="20" name="Rectangle 19"/>
        <xdr:cNvSpPr/>
      </xdr:nvSpPr>
      <xdr:spPr>
        <a:xfrm>
          <a:off x="34709100" y="3533776"/>
          <a:ext cx="3867150" cy="1543050"/>
        </a:xfrm>
        <a:prstGeom prst="rect">
          <a:avLst/>
        </a:prstGeom>
        <a:solidFill>
          <a:srgbClr val="92D05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285750</xdr:colOff>
      <xdr:row>16</xdr:row>
      <xdr:rowOff>180976</xdr:rowOff>
    </xdr:from>
    <xdr:to>
      <xdr:col>57</xdr:col>
      <xdr:colOff>85725</xdr:colOff>
      <xdr:row>24</xdr:row>
      <xdr:rowOff>47625</xdr:rowOff>
    </xdr:to>
    <xdr:sp macro="" textlink="">
      <xdr:nvSpPr>
        <xdr:cNvPr id="21" name="Rectangle 20"/>
        <xdr:cNvSpPr/>
      </xdr:nvSpPr>
      <xdr:spPr>
        <a:xfrm>
          <a:off x="29956125" y="3533776"/>
          <a:ext cx="4067175" cy="1543049"/>
        </a:xfrm>
        <a:prstGeom prst="rect">
          <a:avLst/>
        </a:prstGeom>
        <a:solidFill>
          <a:srgbClr val="92D05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276225</xdr:colOff>
      <xdr:row>12</xdr:row>
      <xdr:rowOff>38101</xdr:rowOff>
    </xdr:from>
    <xdr:to>
      <xdr:col>57</xdr:col>
      <xdr:colOff>104775</xdr:colOff>
      <xdr:row>13</xdr:row>
      <xdr:rowOff>123825</xdr:rowOff>
    </xdr:to>
    <xdr:sp macro="" textlink="">
      <xdr:nvSpPr>
        <xdr:cNvPr id="22" name="Rectangle 21"/>
        <xdr:cNvSpPr/>
      </xdr:nvSpPr>
      <xdr:spPr>
        <a:xfrm>
          <a:off x="29946600" y="2552701"/>
          <a:ext cx="4095750" cy="295274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114300</xdr:colOff>
      <xdr:row>12</xdr:row>
      <xdr:rowOff>38101</xdr:rowOff>
    </xdr:from>
    <xdr:to>
      <xdr:col>64</xdr:col>
      <xdr:colOff>409575</xdr:colOff>
      <xdr:row>13</xdr:row>
      <xdr:rowOff>123825</xdr:rowOff>
    </xdr:to>
    <xdr:sp macro="" textlink="">
      <xdr:nvSpPr>
        <xdr:cNvPr id="23" name="Rectangle 22"/>
        <xdr:cNvSpPr/>
      </xdr:nvSpPr>
      <xdr:spPr>
        <a:xfrm>
          <a:off x="34661475" y="2552701"/>
          <a:ext cx="3952875" cy="295274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161925</xdr:colOff>
      <xdr:row>24</xdr:row>
      <xdr:rowOff>38101</xdr:rowOff>
    </xdr:from>
    <xdr:to>
      <xdr:col>64</xdr:col>
      <xdr:colOff>381000</xdr:colOff>
      <xdr:row>26</xdr:row>
      <xdr:rowOff>142875</xdr:rowOff>
    </xdr:to>
    <xdr:sp macro="" textlink="">
      <xdr:nvSpPr>
        <xdr:cNvPr id="24" name="Rectangle 23"/>
        <xdr:cNvSpPr/>
      </xdr:nvSpPr>
      <xdr:spPr>
        <a:xfrm>
          <a:off x="34709100" y="5067301"/>
          <a:ext cx="3876675" cy="523874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276225</xdr:colOff>
      <xdr:row>24</xdr:row>
      <xdr:rowOff>66676</xdr:rowOff>
    </xdr:from>
    <xdr:to>
      <xdr:col>57</xdr:col>
      <xdr:colOff>95250</xdr:colOff>
      <xdr:row>26</xdr:row>
      <xdr:rowOff>152400</xdr:rowOff>
    </xdr:to>
    <xdr:sp macro="" textlink="">
      <xdr:nvSpPr>
        <xdr:cNvPr id="25" name="Rectangle 24"/>
        <xdr:cNvSpPr/>
      </xdr:nvSpPr>
      <xdr:spPr>
        <a:xfrm>
          <a:off x="29946600" y="5095876"/>
          <a:ext cx="4086225" cy="504824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52</xdr:col>
      <xdr:colOff>152400</xdr:colOff>
      <xdr:row>2</xdr:row>
      <xdr:rowOff>76200</xdr:rowOff>
    </xdr:from>
    <xdr:to>
      <xdr:col>53</xdr:col>
      <xdr:colOff>476250</xdr:colOff>
      <xdr:row>4</xdr:row>
      <xdr:rowOff>28575</xdr:rowOff>
    </xdr:to>
    <xdr:sp macro="" textlink="">
      <xdr:nvSpPr>
        <xdr:cNvPr id="26" name="TextBox 25"/>
        <xdr:cNvSpPr txBox="1"/>
      </xdr:nvSpPr>
      <xdr:spPr>
        <a:xfrm>
          <a:off x="31041975" y="495300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57</xdr:col>
      <xdr:colOff>352425</xdr:colOff>
      <xdr:row>2</xdr:row>
      <xdr:rowOff>76200</xdr:rowOff>
    </xdr:from>
    <xdr:to>
      <xdr:col>59</xdr:col>
      <xdr:colOff>66675</xdr:colOff>
      <xdr:row>4</xdr:row>
      <xdr:rowOff>28575</xdr:rowOff>
    </xdr:to>
    <xdr:sp macro="" textlink="">
      <xdr:nvSpPr>
        <xdr:cNvPr id="27" name="TextBox 26"/>
        <xdr:cNvSpPr txBox="1"/>
      </xdr:nvSpPr>
      <xdr:spPr>
        <a:xfrm>
          <a:off x="34290000" y="495300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57</xdr:col>
      <xdr:colOff>342900</xdr:colOff>
      <xdr:row>15</xdr:row>
      <xdr:rowOff>47625</xdr:rowOff>
    </xdr:from>
    <xdr:to>
      <xdr:col>59</xdr:col>
      <xdr:colOff>57150</xdr:colOff>
      <xdr:row>17</xdr:row>
      <xdr:rowOff>0</xdr:rowOff>
    </xdr:to>
    <xdr:sp macro="" textlink="">
      <xdr:nvSpPr>
        <xdr:cNvPr id="28" name="TextBox 27"/>
        <xdr:cNvSpPr txBox="1"/>
      </xdr:nvSpPr>
      <xdr:spPr>
        <a:xfrm>
          <a:off x="34280475" y="3190875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52</xdr:col>
      <xdr:colOff>200025</xdr:colOff>
      <xdr:row>15</xdr:row>
      <xdr:rowOff>104775</xdr:rowOff>
    </xdr:from>
    <xdr:to>
      <xdr:col>53</xdr:col>
      <xdr:colOff>523875</xdr:colOff>
      <xdr:row>17</xdr:row>
      <xdr:rowOff>57150</xdr:rowOff>
    </xdr:to>
    <xdr:sp macro="" textlink="">
      <xdr:nvSpPr>
        <xdr:cNvPr id="29" name="TextBox 28"/>
        <xdr:cNvSpPr txBox="1"/>
      </xdr:nvSpPr>
      <xdr:spPr>
        <a:xfrm>
          <a:off x="31089600" y="3248025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52</xdr:col>
      <xdr:colOff>238125</xdr:colOff>
      <xdr:row>28</xdr:row>
      <xdr:rowOff>171450</xdr:rowOff>
    </xdr:from>
    <xdr:to>
      <xdr:col>53</xdr:col>
      <xdr:colOff>561975</xdr:colOff>
      <xdr:row>30</xdr:row>
      <xdr:rowOff>123825</xdr:rowOff>
    </xdr:to>
    <xdr:sp macro="" textlink="">
      <xdr:nvSpPr>
        <xdr:cNvPr id="30" name="TextBox 29"/>
        <xdr:cNvSpPr txBox="1"/>
      </xdr:nvSpPr>
      <xdr:spPr>
        <a:xfrm>
          <a:off x="31127700" y="6038850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57</xdr:col>
      <xdr:colOff>409575</xdr:colOff>
      <xdr:row>28</xdr:row>
      <xdr:rowOff>142875</xdr:rowOff>
    </xdr:from>
    <xdr:to>
      <xdr:col>59</xdr:col>
      <xdr:colOff>123825</xdr:colOff>
      <xdr:row>30</xdr:row>
      <xdr:rowOff>95250</xdr:rowOff>
    </xdr:to>
    <xdr:sp macro="" textlink="">
      <xdr:nvSpPr>
        <xdr:cNvPr id="31" name="TextBox 30"/>
        <xdr:cNvSpPr txBox="1"/>
      </xdr:nvSpPr>
      <xdr:spPr>
        <a:xfrm>
          <a:off x="34347150" y="6010275"/>
          <a:ext cx="9334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1E15/cm2</a:t>
          </a:r>
        </a:p>
      </xdr:txBody>
    </xdr:sp>
    <xdr:clientData/>
  </xdr:twoCellAnchor>
  <xdr:twoCellAnchor>
    <xdr:from>
      <xdr:col>52</xdr:col>
      <xdr:colOff>361950</xdr:colOff>
      <xdr:row>42</xdr:row>
      <xdr:rowOff>133350</xdr:rowOff>
    </xdr:from>
    <xdr:to>
      <xdr:col>53</xdr:col>
      <xdr:colOff>381000</xdr:colOff>
      <xdr:row>43</xdr:row>
      <xdr:rowOff>200025</xdr:rowOff>
    </xdr:to>
    <xdr:sp macro="" textlink="">
      <xdr:nvSpPr>
        <xdr:cNvPr id="32" name="TextBox 31"/>
        <xdr:cNvSpPr txBox="1"/>
      </xdr:nvSpPr>
      <xdr:spPr>
        <a:xfrm>
          <a:off x="31251525" y="8934450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57</xdr:col>
      <xdr:colOff>581025</xdr:colOff>
      <xdr:row>42</xdr:row>
      <xdr:rowOff>123825</xdr:rowOff>
    </xdr:from>
    <xdr:to>
      <xdr:col>58</xdr:col>
      <xdr:colOff>600075</xdr:colOff>
      <xdr:row>43</xdr:row>
      <xdr:rowOff>190500</xdr:rowOff>
    </xdr:to>
    <xdr:sp macro="" textlink="">
      <xdr:nvSpPr>
        <xdr:cNvPr id="33" name="TextBox 32"/>
        <xdr:cNvSpPr txBox="1"/>
      </xdr:nvSpPr>
      <xdr:spPr>
        <a:xfrm>
          <a:off x="34518600" y="8924925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57</xdr:col>
      <xdr:colOff>542925</xdr:colOff>
      <xdr:row>56</xdr:row>
      <xdr:rowOff>57150</xdr:rowOff>
    </xdr:from>
    <xdr:to>
      <xdr:col>58</xdr:col>
      <xdr:colOff>561975</xdr:colOff>
      <xdr:row>57</xdr:row>
      <xdr:rowOff>123825</xdr:rowOff>
    </xdr:to>
    <xdr:sp macro="" textlink="">
      <xdr:nvSpPr>
        <xdr:cNvPr id="34" name="TextBox 33"/>
        <xdr:cNvSpPr txBox="1"/>
      </xdr:nvSpPr>
      <xdr:spPr>
        <a:xfrm>
          <a:off x="34480500" y="11791950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52</xdr:col>
      <xdr:colOff>295275</xdr:colOff>
      <xdr:row>56</xdr:row>
      <xdr:rowOff>9525</xdr:rowOff>
    </xdr:from>
    <xdr:to>
      <xdr:col>53</xdr:col>
      <xdr:colOff>314325</xdr:colOff>
      <xdr:row>57</xdr:row>
      <xdr:rowOff>76200</xdr:rowOff>
    </xdr:to>
    <xdr:sp macro="" textlink="">
      <xdr:nvSpPr>
        <xdr:cNvPr id="35" name="TextBox 34"/>
        <xdr:cNvSpPr txBox="1"/>
      </xdr:nvSpPr>
      <xdr:spPr>
        <a:xfrm>
          <a:off x="31184850" y="11744325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52</xdr:col>
      <xdr:colOff>352425</xdr:colOff>
      <xdr:row>69</xdr:row>
      <xdr:rowOff>85725</xdr:rowOff>
    </xdr:from>
    <xdr:to>
      <xdr:col>53</xdr:col>
      <xdr:colOff>371475</xdr:colOff>
      <xdr:row>70</xdr:row>
      <xdr:rowOff>152400</xdr:rowOff>
    </xdr:to>
    <xdr:sp macro="" textlink="">
      <xdr:nvSpPr>
        <xdr:cNvPr id="36" name="TextBox 35"/>
        <xdr:cNvSpPr txBox="1"/>
      </xdr:nvSpPr>
      <xdr:spPr>
        <a:xfrm>
          <a:off x="31242000" y="14544675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57</xdr:col>
      <xdr:colOff>523875</xdr:colOff>
      <xdr:row>69</xdr:row>
      <xdr:rowOff>38100</xdr:rowOff>
    </xdr:from>
    <xdr:to>
      <xdr:col>58</xdr:col>
      <xdr:colOff>542925</xdr:colOff>
      <xdr:row>70</xdr:row>
      <xdr:rowOff>104775</xdr:rowOff>
    </xdr:to>
    <xdr:sp macro="" textlink="">
      <xdr:nvSpPr>
        <xdr:cNvPr id="37" name="TextBox 36"/>
        <xdr:cNvSpPr txBox="1"/>
      </xdr:nvSpPr>
      <xdr:spPr>
        <a:xfrm>
          <a:off x="34461450" y="14497050"/>
          <a:ext cx="628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ppm</a:t>
          </a:r>
        </a:p>
      </xdr:txBody>
    </xdr:sp>
    <xdr:clientData/>
  </xdr:twoCellAnchor>
  <xdr:twoCellAnchor>
    <xdr:from>
      <xdr:col>36</xdr:col>
      <xdr:colOff>18338</xdr:colOff>
      <xdr:row>16</xdr:row>
      <xdr:rowOff>87711</xdr:rowOff>
    </xdr:from>
    <xdr:to>
      <xdr:col>42</xdr:col>
      <xdr:colOff>759964</xdr:colOff>
      <xdr:row>29</xdr:row>
      <xdr:rowOff>129275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67235</xdr:colOff>
      <xdr:row>30</xdr:row>
      <xdr:rowOff>23531</xdr:rowOff>
    </xdr:from>
    <xdr:to>
      <xdr:col>43</xdr:col>
      <xdr:colOff>22412</xdr:colOff>
      <xdr:row>42</xdr:row>
      <xdr:rowOff>211790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54</xdr:col>
      <xdr:colOff>44824</xdr:colOff>
      <xdr:row>83</xdr:row>
      <xdr:rowOff>201706</xdr:rowOff>
    </xdr:from>
    <xdr:to>
      <xdr:col>61</xdr:col>
      <xdr:colOff>381000</xdr:colOff>
      <xdr:row>96</xdr:row>
      <xdr:rowOff>205628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38</xdr:col>
      <xdr:colOff>437030</xdr:colOff>
      <xdr:row>356</xdr:row>
      <xdr:rowOff>33617</xdr:rowOff>
    </xdr:from>
    <xdr:to>
      <xdr:col>48</xdr:col>
      <xdr:colOff>705972</xdr:colOff>
      <xdr:row>375</xdr:row>
      <xdr:rowOff>88526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0</xdr:rowOff>
    </xdr:from>
    <xdr:to>
      <xdr:col>11</xdr:col>
      <xdr:colOff>161925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12</xdr:row>
      <xdr:rowOff>85725</xdr:rowOff>
    </xdr:from>
    <xdr:to>
      <xdr:col>11</xdr:col>
      <xdr:colOff>514350</xdr:colOff>
      <xdr:row>26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29</xdr:row>
      <xdr:rowOff>66675</xdr:rowOff>
    </xdr:from>
    <xdr:to>
      <xdr:col>11</xdr:col>
      <xdr:colOff>561975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200025</xdr:colOff>
      <xdr:row>29</xdr:row>
      <xdr:rowOff>85725</xdr:rowOff>
    </xdr:from>
    <xdr:to>
      <xdr:col>24</xdr:col>
      <xdr:colOff>504825</xdr:colOff>
      <xdr:row>43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33</xdr:row>
      <xdr:rowOff>142875</xdr:rowOff>
    </xdr:from>
    <xdr:to>
      <xdr:col>22</xdr:col>
      <xdr:colOff>19050</xdr:colOff>
      <xdr:row>37</xdr:row>
      <xdr:rowOff>171450</xdr:rowOff>
    </xdr:to>
    <xdr:sp macro="" textlink="">
      <xdr:nvSpPr>
        <xdr:cNvPr id="6" name="TextBox 5"/>
        <xdr:cNvSpPr txBox="1"/>
      </xdr:nvSpPr>
      <xdr:spPr>
        <a:xfrm rot="1827844">
          <a:off x="9144000" y="6610350"/>
          <a:ext cx="428625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BEWARE:</a:t>
          </a:r>
          <a:r>
            <a:rPr lang="en-GB" sz="2000" baseline="0">
              <a:solidFill>
                <a:srgbClr val="FF0000"/>
              </a:solidFill>
            </a:rPr>
            <a:t> Signal comes from noise - current integrator was not connected!</a:t>
          </a:r>
          <a:endParaRPr lang="en-GB" sz="20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138112</xdr:colOff>
      <xdr:row>29</xdr:row>
      <xdr:rowOff>80962</xdr:rowOff>
    </xdr:from>
    <xdr:to>
      <xdr:col>35</xdr:col>
      <xdr:colOff>442912</xdr:colOff>
      <xdr:row>43</xdr:row>
      <xdr:rowOff>71437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46</xdr:row>
      <xdr:rowOff>76200</xdr:rowOff>
    </xdr:from>
    <xdr:to>
      <xdr:col>13</xdr:col>
      <xdr:colOff>352425</xdr:colOff>
      <xdr:row>60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314325</xdr:colOff>
      <xdr:row>46</xdr:row>
      <xdr:rowOff>161925</xdr:rowOff>
    </xdr:from>
    <xdr:to>
      <xdr:col>25</xdr:col>
      <xdr:colOff>9525</xdr:colOff>
      <xdr:row>60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285750</xdr:colOff>
      <xdr:row>62</xdr:row>
      <xdr:rowOff>0</xdr:rowOff>
    </xdr:from>
    <xdr:to>
      <xdr:col>11</xdr:col>
      <xdr:colOff>152400</xdr:colOff>
      <xdr:row>71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209550</xdr:colOff>
      <xdr:row>63</xdr:row>
      <xdr:rowOff>28575</xdr:rowOff>
    </xdr:from>
    <xdr:to>
      <xdr:col>22</xdr:col>
      <xdr:colOff>542925</xdr:colOff>
      <xdr:row>72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219075</xdr:colOff>
      <xdr:row>73</xdr:row>
      <xdr:rowOff>76200</xdr:rowOff>
    </xdr:from>
    <xdr:to>
      <xdr:col>10</xdr:col>
      <xdr:colOff>523875</xdr:colOff>
      <xdr:row>87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200025</xdr:colOff>
      <xdr:row>73</xdr:row>
      <xdr:rowOff>180975</xdr:rowOff>
    </xdr:from>
    <xdr:to>
      <xdr:col>21</xdr:col>
      <xdr:colOff>504825</xdr:colOff>
      <xdr:row>87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1</xdr:row>
      <xdr:rowOff>152400</xdr:rowOff>
    </xdr:from>
    <xdr:to>
      <xdr:col>28</xdr:col>
      <xdr:colOff>2524125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4906625" y="361950"/>
          <a:ext cx="24860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Elements</a:t>
          </a:r>
          <a:r>
            <a:rPr lang="en-GB" sz="1100" b="1" baseline="0"/>
            <a:t> considered for all spectra:</a:t>
          </a:r>
        </a:p>
        <a:p>
          <a:r>
            <a:rPr lang="en-GB" sz="1100" b="1" baseline="0"/>
            <a:t>C, O, Ni (Inconel surrogate), Mo, W</a:t>
          </a:r>
        </a:p>
        <a:p>
          <a:r>
            <a:rPr lang="en-GB" sz="1100" b="0" baseline="0"/>
            <a:t>Elements considered for many spectra:</a:t>
          </a:r>
        </a:p>
        <a:p>
          <a:r>
            <a:rPr lang="en-GB" sz="1100" b="0" baseline="0"/>
            <a:t>B, C, N, O, Ni, Mo, W</a:t>
          </a:r>
        </a:p>
        <a:p>
          <a:r>
            <a:rPr lang="en-GB" sz="1100" i="1" baseline="0"/>
            <a:t>Elements considered for several spectra:</a:t>
          </a:r>
        </a:p>
        <a:p>
          <a:r>
            <a:rPr lang="en-GB" sz="1100" i="1"/>
            <a:t>B, N, O, F, Na, Al, Cl, Ca, Ti, Ni, Mo, W</a:t>
          </a:r>
        </a:p>
      </xdr:txBody>
    </xdr:sp>
    <xdr:clientData/>
  </xdr:twoCellAnchor>
  <xdr:twoCellAnchor>
    <xdr:from>
      <xdr:col>33</xdr:col>
      <xdr:colOff>28575</xdr:colOff>
      <xdr:row>10</xdr:row>
      <xdr:rowOff>152400</xdr:rowOff>
    </xdr:from>
    <xdr:to>
      <xdr:col>40</xdr:col>
      <xdr:colOff>657225</xdr:colOff>
      <xdr:row>23</xdr:row>
      <xdr:rowOff>171450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28575</xdr:colOff>
      <xdr:row>24</xdr:row>
      <xdr:rowOff>9525</xdr:rowOff>
    </xdr:from>
    <xdr:to>
      <xdr:col>40</xdr:col>
      <xdr:colOff>657225</xdr:colOff>
      <xdr:row>37</xdr:row>
      <xdr:rowOff>28575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28575</xdr:colOff>
      <xdr:row>37</xdr:row>
      <xdr:rowOff>19050</xdr:rowOff>
    </xdr:from>
    <xdr:to>
      <xdr:col>40</xdr:col>
      <xdr:colOff>657225</xdr:colOff>
      <xdr:row>50</xdr:row>
      <xdr:rowOff>38100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771525</xdr:colOff>
      <xdr:row>10</xdr:row>
      <xdr:rowOff>161925</xdr:rowOff>
    </xdr:from>
    <xdr:to>
      <xdr:col>49</xdr:col>
      <xdr:colOff>0</xdr:colOff>
      <xdr:row>23</xdr:row>
      <xdr:rowOff>180975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752475</xdr:colOff>
      <xdr:row>24</xdr:row>
      <xdr:rowOff>0</xdr:rowOff>
    </xdr:from>
    <xdr:to>
      <xdr:col>48</xdr:col>
      <xdr:colOff>590550</xdr:colOff>
      <xdr:row>37</xdr:row>
      <xdr:rowOff>19050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%20background%20ER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11-N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ckmann/Desktop/EP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LT details"/>
      <sheetName val="Ni details"/>
      <sheetName val="DED details"/>
      <sheetName val="scabble"/>
    </sheetNames>
    <sheetDataSet>
      <sheetData sheetId="0">
        <row r="2">
          <cell r="P2" t="str">
            <v>Mo with ERDA</v>
          </cell>
        </row>
        <row r="25">
          <cell r="D25">
            <v>-2.8125</v>
          </cell>
          <cell r="T25">
            <v>2.125</v>
          </cell>
        </row>
        <row r="26">
          <cell r="D26">
            <v>64.6875</v>
          </cell>
          <cell r="T26">
            <v>0.35519999999999996</v>
          </cell>
        </row>
        <row r="27">
          <cell r="D27">
            <v>-109.6875</v>
          </cell>
          <cell r="T27">
            <v>1.1400000000000001</v>
          </cell>
        </row>
        <row r="28">
          <cell r="D28">
            <v>64.6875</v>
          </cell>
          <cell r="T28">
            <v>0.14019999999999999</v>
          </cell>
        </row>
        <row r="29">
          <cell r="D29">
            <v>104.0625</v>
          </cell>
          <cell r="T29">
            <v>-0.182</v>
          </cell>
        </row>
        <row r="30">
          <cell r="D30">
            <v>210.9375</v>
          </cell>
          <cell r="T30">
            <v>1.48</v>
          </cell>
        </row>
        <row r="31">
          <cell r="D31">
            <v>154.6875</v>
          </cell>
          <cell r="T31">
            <v>-0.16600000000000015</v>
          </cell>
        </row>
        <row r="32">
          <cell r="D32">
            <v>154.6875</v>
          </cell>
          <cell r="T32">
            <v>0.15499999999999997</v>
          </cell>
        </row>
        <row r="33">
          <cell r="D33">
            <v>154.6875</v>
          </cell>
          <cell r="T33">
            <v>0.61399999999999999</v>
          </cell>
        </row>
        <row r="34">
          <cell r="D34">
            <v>154.6875</v>
          </cell>
          <cell r="T34">
            <v>-0.23099999999999998</v>
          </cell>
        </row>
        <row r="35">
          <cell r="D35">
            <v>154.6875</v>
          </cell>
          <cell r="T35">
            <v>0.61599999999999988</v>
          </cell>
        </row>
        <row r="36">
          <cell r="D36">
            <v>-25.3125</v>
          </cell>
          <cell r="T36">
            <v>7.1999999999999897E-2</v>
          </cell>
        </row>
        <row r="37">
          <cell r="D37">
            <v>-25.3125</v>
          </cell>
          <cell r="T37">
            <v>7.5820000000000007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alibration"/>
      <sheetName val="sides"/>
      <sheetName val="NRA"/>
      <sheetName val="ERDA results"/>
      <sheetName val="scramble"/>
      <sheetName val="Sheet1"/>
      <sheetName val="ALT 4-19"/>
      <sheetName val="Sheet2"/>
    </sheetNames>
    <sheetDataSet>
      <sheetData sheetId="0" refreshError="1"/>
      <sheetData sheetId="1">
        <row r="72">
          <cell r="B72">
            <v>87</v>
          </cell>
          <cell r="C72">
            <v>512</v>
          </cell>
          <cell r="N72">
            <v>2529</v>
          </cell>
          <cell r="O72">
            <v>48100000000</v>
          </cell>
        </row>
        <row r="73">
          <cell r="B73">
            <v>141</v>
          </cell>
          <cell r="C73">
            <v>732</v>
          </cell>
          <cell r="N73">
            <v>4157</v>
          </cell>
          <cell r="O73">
            <v>80790000000</v>
          </cell>
        </row>
        <row r="74">
          <cell r="B74">
            <v>229</v>
          </cell>
          <cell r="C74">
            <v>1111</v>
          </cell>
          <cell r="N74">
            <v>4515</v>
          </cell>
          <cell r="O74">
            <v>68490000000</v>
          </cell>
        </row>
        <row r="75">
          <cell r="B75">
            <v>327</v>
          </cell>
          <cell r="C75">
            <v>1561</v>
          </cell>
          <cell r="N75">
            <v>3217</v>
          </cell>
          <cell r="O75">
            <v>52300000000</v>
          </cell>
        </row>
        <row r="76">
          <cell r="B76">
            <v>330</v>
          </cell>
          <cell r="C76">
            <v>1572</v>
          </cell>
          <cell r="N76">
            <v>1624</v>
          </cell>
          <cell r="O76">
            <v>23730000000</v>
          </cell>
        </row>
        <row r="77">
          <cell r="B77">
            <v>354</v>
          </cell>
          <cell r="C77">
            <v>1683</v>
          </cell>
          <cell r="N77">
            <v>767</v>
          </cell>
          <cell r="O77">
            <v>9724000000</v>
          </cell>
        </row>
        <row r="78">
          <cell r="B78">
            <v>358</v>
          </cell>
          <cell r="C78">
            <v>1697</v>
          </cell>
        </row>
        <row r="79">
          <cell r="B79">
            <v>389</v>
          </cell>
          <cell r="C79">
            <v>1836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alibration"/>
      <sheetName val="Sheet3"/>
    </sheetNames>
    <sheetDataSet>
      <sheetData sheetId="0" refreshError="1"/>
      <sheetData sheetId="1">
        <row r="49">
          <cell r="B49">
            <v>202</v>
          </cell>
          <cell r="C49">
            <v>2625</v>
          </cell>
          <cell r="M49">
            <v>33420</v>
          </cell>
          <cell r="N49">
            <v>506800000000</v>
          </cell>
        </row>
        <row r="50">
          <cell r="B50">
            <v>783</v>
          </cell>
          <cell r="C50">
            <v>9848</v>
          </cell>
          <cell r="M50">
            <v>1760</v>
          </cell>
          <cell r="N50">
            <v>14220000000</v>
          </cell>
        </row>
        <row r="51">
          <cell r="B51">
            <v>638</v>
          </cell>
          <cell r="C51">
            <v>8038</v>
          </cell>
          <cell r="M51">
            <v>1289</v>
          </cell>
          <cell r="N51">
            <v>142500000000</v>
          </cell>
        </row>
        <row r="52">
          <cell r="B52">
            <v>902</v>
          </cell>
          <cell r="C52">
            <v>11424</v>
          </cell>
        </row>
        <row r="53">
          <cell r="B53">
            <v>443</v>
          </cell>
          <cell r="C53">
            <v>5618</v>
          </cell>
        </row>
        <row r="54">
          <cell r="B54">
            <v>283</v>
          </cell>
          <cell r="C54">
            <v>3635</v>
          </cell>
        </row>
        <row r="55">
          <cell r="B55">
            <v>137</v>
          </cell>
          <cell r="C55">
            <v>1800</v>
          </cell>
        </row>
        <row r="56">
          <cell r="B56">
            <v>98</v>
          </cell>
          <cell r="C56">
            <v>1322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1 EPS"/>
    </sheetNames>
    <sheetDataSet>
      <sheetData sheetId="0">
        <row r="2">
          <cell r="B2" t="str">
            <v>peak width</v>
          </cell>
          <cell r="C2" t="str">
            <v>Mo</v>
          </cell>
          <cell r="D2" t="str">
            <v>Mo (frac.)</v>
          </cell>
        </row>
        <row r="3">
          <cell r="A3">
            <v>2</v>
          </cell>
          <cell r="B3">
            <v>5000</v>
          </cell>
          <cell r="C3">
            <v>282.5</v>
          </cell>
          <cell r="D3">
            <v>5.6500000000000002E-2</v>
          </cell>
        </row>
        <row r="4">
          <cell r="A4">
            <v>7</v>
          </cell>
          <cell r="B4">
            <v>4500</v>
          </cell>
          <cell r="C4">
            <v>679.5</v>
          </cell>
          <cell r="D4">
            <v>0.151</v>
          </cell>
        </row>
        <row r="5">
          <cell r="A5">
            <v>9</v>
          </cell>
          <cell r="B5">
            <v>5000</v>
          </cell>
          <cell r="C5">
            <v>985</v>
          </cell>
          <cell r="D5">
            <v>0.19700000000000001</v>
          </cell>
        </row>
        <row r="6">
          <cell r="A6">
            <v>11</v>
          </cell>
          <cell r="B6">
            <v>6500</v>
          </cell>
          <cell r="C6">
            <v>1553.5</v>
          </cell>
          <cell r="D6">
            <v>0.23899999999999999</v>
          </cell>
        </row>
        <row r="7">
          <cell r="A7">
            <v>13</v>
          </cell>
          <cell r="B7">
            <v>7700</v>
          </cell>
          <cell r="C7">
            <v>2541</v>
          </cell>
          <cell r="D7">
            <v>0.33</v>
          </cell>
        </row>
        <row r="8">
          <cell r="A8">
            <v>15</v>
          </cell>
          <cell r="B8">
            <v>13500</v>
          </cell>
          <cell r="C8">
            <v>4185</v>
          </cell>
          <cell r="D8">
            <v>0.31</v>
          </cell>
        </row>
        <row r="9">
          <cell r="A9">
            <v>17</v>
          </cell>
          <cell r="B9">
            <v>22000</v>
          </cell>
          <cell r="C9">
            <v>7700</v>
          </cell>
          <cell r="D9">
            <v>0.35</v>
          </cell>
        </row>
        <row r="10">
          <cell r="A10">
            <v>19</v>
          </cell>
          <cell r="B10">
            <v>35000</v>
          </cell>
          <cell r="C10">
            <v>11200</v>
          </cell>
          <cell r="D10">
            <v>0.32</v>
          </cell>
        </row>
        <row r="11">
          <cell r="A11">
            <v>21</v>
          </cell>
          <cell r="B11">
            <v>45000</v>
          </cell>
          <cell r="C11">
            <v>13050</v>
          </cell>
          <cell r="D11">
            <v>0.28999999999999998</v>
          </cell>
        </row>
        <row r="12">
          <cell r="A12">
            <v>23</v>
          </cell>
          <cell r="B12">
            <v>31000</v>
          </cell>
          <cell r="C12">
            <v>10075</v>
          </cell>
          <cell r="D12">
            <v>0.32500000000000001</v>
          </cell>
        </row>
        <row r="13">
          <cell r="A13">
            <v>25</v>
          </cell>
          <cell r="B13">
            <v>16000</v>
          </cell>
          <cell r="C13">
            <v>6800</v>
          </cell>
          <cell r="D13">
            <v>0.42499999999999999</v>
          </cell>
        </row>
        <row r="14">
          <cell r="A14">
            <v>27</v>
          </cell>
          <cell r="B14">
            <v>9500</v>
          </cell>
          <cell r="C14">
            <v>5082.5</v>
          </cell>
          <cell r="D14">
            <v>0.53500000000000003</v>
          </cell>
        </row>
        <row r="15">
          <cell r="A15">
            <v>29</v>
          </cell>
          <cell r="B15">
            <v>7000</v>
          </cell>
          <cell r="C15">
            <v>4235</v>
          </cell>
          <cell r="D15">
            <v>0.60499999999999998</v>
          </cell>
        </row>
        <row r="16">
          <cell r="A16">
            <v>31</v>
          </cell>
          <cell r="B16">
            <v>6500</v>
          </cell>
          <cell r="C16">
            <v>3282.5</v>
          </cell>
          <cell r="D16">
            <v>0.505</v>
          </cell>
        </row>
        <row r="17">
          <cell r="A17">
            <v>33</v>
          </cell>
          <cell r="B17">
            <v>5200</v>
          </cell>
          <cell r="C17">
            <v>2912</v>
          </cell>
          <cell r="D17">
            <v>0.56000000000000005</v>
          </cell>
        </row>
        <row r="18">
          <cell r="A18">
            <v>38</v>
          </cell>
          <cell r="B18">
            <v>3900</v>
          </cell>
          <cell r="C18">
            <v>1482</v>
          </cell>
          <cell r="D18">
            <v>0.38</v>
          </cell>
        </row>
        <row r="19">
          <cell r="A19">
            <v>43</v>
          </cell>
          <cell r="B19">
            <v>4000</v>
          </cell>
          <cell r="C19">
            <v>500</v>
          </cell>
          <cell r="D19">
            <v>0.125</v>
          </cell>
        </row>
        <row r="20">
          <cell r="A20">
            <v>48</v>
          </cell>
          <cell r="B20">
            <v>4000</v>
          </cell>
          <cell r="C20">
            <v>78</v>
          </cell>
          <cell r="D20">
            <v>1.95E-2</v>
          </cell>
        </row>
        <row r="22">
          <cell r="A22">
            <v>2</v>
          </cell>
          <cell r="B22">
            <v>7400</v>
          </cell>
          <cell r="C22">
            <v>4477</v>
          </cell>
          <cell r="D22">
            <v>0.60499999999999998</v>
          </cell>
        </row>
        <row r="23">
          <cell r="A23">
            <v>4</v>
          </cell>
          <cell r="B23">
            <v>17500</v>
          </cell>
          <cell r="C23">
            <v>8225</v>
          </cell>
          <cell r="D23">
            <v>0.47</v>
          </cell>
        </row>
        <row r="24">
          <cell r="A24">
            <v>6</v>
          </cell>
          <cell r="B24">
            <v>33000</v>
          </cell>
          <cell r="C24">
            <v>12540</v>
          </cell>
          <cell r="D24">
            <v>0.38</v>
          </cell>
        </row>
        <row r="25">
          <cell r="A25">
            <v>8</v>
          </cell>
          <cell r="B25">
            <v>45000</v>
          </cell>
          <cell r="C25">
            <v>17100</v>
          </cell>
          <cell r="D25">
            <v>0.38</v>
          </cell>
        </row>
        <row r="26">
          <cell r="A26">
            <v>10</v>
          </cell>
          <cell r="B26">
            <v>34000</v>
          </cell>
          <cell r="C26">
            <v>13600</v>
          </cell>
          <cell r="D26">
            <v>0.4</v>
          </cell>
        </row>
        <row r="27">
          <cell r="A27">
            <v>12</v>
          </cell>
          <cell r="B27">
            <v>21000</v>
          </cell>
          <cell r="C27">
            <v>8400</v>
          </cell>
          <cell r="D27">
            <v>0.4</v>
          </cell>
        </row>
        <row r="28">
          <cell r="A28">
            <v>14</v>
          </cell>
          <cell r="B28">
            <v>13000</v>
          </cell>
          <cell r="C28">
            <v>5460</v>
          </cell>
          <cell r="D28">
            <v>0.42</v>
          </cell>
        </row>
        <row r="29">
          <cell r="A29">
            <v>18</v>
          </cell>
          <cell r="B29">
            <v>5500</v>
          </cell>
          <cell r="C29">
            <v>2805</v>
          </cell>
          <cell r="D29">
            <v>0.51</v>
          </cell>
        </row>
        <row r="30">
          <cell r="A30">
            <v>20</v>
          </cell>
          <cell r="B30">
            <v>5500</v>
          </cell>
          <cell r="C30">
            <v>2200</v>
          </cell>
          <cell r="D30">
            <v>0.4</v>
          </cell>
        </row>
        <row r="31">
          <cell r="A31">
            <v>22</v>
          </cell>
          <cell r="B31">
            <v>4500</v>
          </cell>
          <cell r="C31">
            <v>1710</v>
          </cell>
          <cell r="D31">
            <v>0.38</v>
          </cell>
        </row>
        <row r="32">
          <cell r="A32">
            <v>24</v>
          </cell>
          <cell r="B32">
            <v>3700</v>
          </cell>
          <cell r="C32">
            <v>1387.5</v>
          </cell>
          <cell r="D32">
            <v>0.375</v>
          </cell>
        </row>
        <row r="33">
          <cell r="A33">
            <v>26</v>
          </cell>
          <cell r="B33">
            <v>4300</v>
          </cell>
          <cell r="C33">
            <v>1161</v>
          </cell>
          <cell r="D33">
            <v>0.27</v>
          </cell>
        </row>
        <row r="34">
          <cell r="A34">
            <v>31</v>
          </cell>
          <cell r="B34">
            <v>5000</v>
          </cell>
          <cell r="C34">
            <v>625</v>
          </cell>
          <cell r="D34">
            <v>0.125</v>
          </cell>
        </row>
        <row r="35">
          <cell r="A35">
            <v>36</v>
          </cell>
          <cell r="B35">
            <v>5000</v>
          </cell>
          <cell r="C35">
            <v>255</v>
          </cell>
          <cell r="D35">
            <v>5.0999999999999997E-2</v>
          </cell>
        </row>
        <row r="36">
          <cell r="A36">
            <v>41</v>
          </cell>
          <cell r="B36">
            <v>6700</v>
          </cell>
          <cell r="C36">
            <v>73.7</v>
          </cell>
          <cell r="D36">
            <v>1.1000000000000001E-2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W362"/>
  <sheetViews>
    <sheetView topLeftCell="BG1" zoomScale="85" zoomScaleNormal="85" workbookViewId="0">
      <pane ySplit="1" topLeftCell="A2" activePane="bottomLeft" state="frozen"/>
      <selection pane="bottomLeft" activeCell="AX102" sqref="AX102"/>
    </sheetView>
  </sheetViews>
  <sheetFormatPr defaultRowHeight="16.5" thickTop="1" thickBottom="1" x14ac:dyDescent="0.3"/>
  <cols>
    <col min="1" max="1" width="9.140625" style="4"/>
    <col min="2" max="3" width="9.140625" style="2"/>
    <col min="4" max="4" width="1.5703125" style="5" customWidth="1"/>
    <col min="5" max="6" width="9.140625" style="1"/>
    <col min="7" max="7" width="9.140625" style="3" customWidth="1"/>
    <col min="8" max="8" width="1.7109375" style="5" customWidth="1"/>
    <col min="9" max="9" width="9.140625" style="2"/>
    <col min="10" max="10" width="9.140625" style="3"/>
    <col min="11" max="11" width="9.140625" style="6"/>
    <col min="12" max="12" width="1.85546875" style="5" customWidth="1"/>
    <col min="13" max="13" width="27.42578125" customWidth="1"/>
    <col min="14" max="14" width="2.140625" style="5" customWidth="1"/>
    <col min="15" max="15" width="9.140625" style="8"/>
    <col min="16" max="16" width="9.140625" style="9"/>
    <col min="17" max="17" width="1.140625" style="5" customWidth="1"/>
    <col min="18" max="18" width="9.140625" style="10"/>
    <col min="19" max="19" width="9.140625" style="11"/>
    <col min="20" max="20" width="9.140625" style="12"/>
    <col min="21" max="21" width="1.140625" style="5" customWidth="1"/>
    <col min="22" max="22" width="10" style="7" customWidth="1"/>
    <col min="23" max="23" width="9.140625" style="13"/>
    <col min="24" max="24" width="1.140625" style="5" customWidth="1"/>
    <col min="25" max="25" width="9.5703125" style="56" customWidth="1"/>
    <col min="26" max="26" width="9.5703125" style="13" customWidth="1"/>
    <col min="27" max="29" width="9.28515625" customWidth="1"/>
    <col min="30" max="30" width="57.28515625" customWidth="1"/>
    <col min="31" max="31" width="10.140625" style="5" customWidth="1"/>
    <col min="32" max="33" width="16.42578125" style="8" customWidth="1"/>
    <col min="34" max="34" width="9.140625" style="3"/>
    <col min="36" max="36" width="1.5703125" style="5" customWidth="1"/>
    <col min="37" max="37" width="11.140625" style="2" customWidth="1"/>
    <col min="38" max="38" width="9.140625" style="7"/>
    <col min="39" max="39" width="13.28515625" style="8" customWidth="1"/>
    <col min="40" max="40" width="9.140625" style="56"/>
    <col min="41" max="41" width="12.42578125" style="9" customWidth="1"/>
    <col min="42" max="42" width="2.42578125" style="5" customWidth="1"/>
    <col min="43" max="43" width="11.85546875" style="90" customWidth="1"/>
    <col min="44" max="44" width="2.28515625" style="5" customWidth="1"/>
    <col min="45" max="45" width="12" style="95" customWidth="1"/>
    <col min="46" max="46" width="2.140625" style="5" customWidth="1"/>
    <col min="47" max="47" width="11.5703125" style="10" customWidth="1"/>
    <col min="48" max="48" width="10.85546875" style="11" customWidth="1"/>
    <col min="49" max="50" width="11.140625" style="12" customWidth="1"/>
    <col min="65" max="65" width="9.28515625" customWidth="1"/>
    <col min="66" max="66" width="3.7109375" style="5" customWidth="1"/>
    <col min="67" max="67" width="12.85546875" customWidth="1"/>
    <col min="68" max="70" width="12.28515625" customWidth="1"/>
    <col min="71" max="72" width="15.85546875" customWidth="1"/>
    <col min="73" max="73" width="15" customWidth="1"/>
    <col min="74" max="74" width="12.5703125" customWidth="1"/>
  </cols>
  <sheetData>
    <row r="1" spans="1:75" s="5" customFormat="1" thickTop="1" thickBot="1" x14ac:dyDescent="0.3">
      <c r="A1" s="5" t="s">
        <v>0</v>
      </c>
      <c r="B1" s="5" t="s">
        <v>1</v>
      </c>
      <c r="C1" s="5" t="s">
        <v>2</v>
      </c>
      <c r="E1" s="5" t="s">
        <v>3</v>
      </c>
      <c r="F1" s="5" t="s">
        <v>4</v>
      </c>
      <c r="G1" s="5" t="s">
        <v>5</v>
      </c>
      <c r="I1" s="5" t="s">
        <v>6</v>
      </c>
      <c r="J1" s="5" t="s">
        <v>7</v>
      </c>
      <c r="K1" s="5" t="s">
        <v>8</v>
      </c>
      <c r="M1" s="5" t="s">
        <v>9</v>
      </c>
      <c r="O1" s="5" t="s">
        <v>10</v>
      </c>
      <c r="P1" s="5" t="s">
        <v>11</v>
      </c>
      <c r="R1" s="5" t="s">
        <v>12</v>
      </c>
      <c r="S1" s="5" t="s">
        <v>13</v>
      </c>
      <c r="T1" s="5" t="s">
        <v>14</v>
      </c>
      <c r="V1" s="5" t="s">
        <v>15</v>
      </c>
      <c r="W1" s="5" t="s">
        <v>16</v>
      </c>
      <c r="Y1" s="5" t="s">
        <v>28</v>
      </c>
      <c r="Z1" s="5" t="s">
        <v>29</v>
      </c>
      <c r="AA1" s="5" t="s">
        <v>17</v>
      </c>
      <c r="AB1" s="5" t="s">
        <v>21</v>
      </c>
      <c r="AC1" s="5" t="s">
        <v>21</v>
      </c>
      <c r="AD1" s="5" t="s">
        <v>18</v>
      </c>
      <c r="AF1" s="5" t="s">
        <v>73</v>
      </c>
      <c r="AG1" s="5" t="s">
        <v>132</v>
      </c>
      <c r="AH1" s="5" t="s">
        <v>74</v>
      </c>
      <c r="AI1" s="5" t="s">
        <v>75</v>
      </c>
      <c r="AK1" s="5" t="s">
        <v>76</v>
      </c>
      <c r="AL1" s="5" t="s">
        <v>77</v>
      </c>
      <c r="AM1" s="5" t="s">
        <v>78</v>
      </c>
      <c r="AN1" s="5" t="s">
        <v>79</v>
      </c>
      <c r="AO1" s="5" t="s">
        <v>80</v>
      </c>
      <c r="AQ1" s="5" t="s">
        <v>82</v>
      </c>
      <c r="AS1" s="5" t="s">
        <v>83</v>
      </c>
      <c r="AU1" s="5" t="s">
        <v>84</v>
      </c>
      <c r="AV1" s="5" t="s">
        <v>85</v>
      </c>
      <c r="AW1" s="5" t="s">
        <v>86</v>
      </c>
      <c r="BO1" s="5" t="s">
        <v>124</v>
      </c>
      <c r="BP1" s="5" t="s">
        <v>125</v>
      </c>
      <c r="BQ1" s="5" t="s">
        <v>134</v>
      </c>
      <c r="BR1" s="5" t="s">
        <v>137</v>
      </c>
      <c r="BS1" s="5" t="s">
        <v>126</v>
      </c>
      <c r="BT1" s="5" t="s">
        <v>127</v>
      </c>
      <c r="BU1" s="5" t="s">
        <v>133</v>
      </c>
      <c r="BV1" s="5" t="s">
        <v>136</v>
      </c>
      <c r="BW1" s="5" t="str">
        <f>A1</f>
        <v xml:space="preserve">DED </v>
      </c>
    </row>
    <row r="2" spans="1:75" thickTop="1" thickBot="1" x14ac:dyDescent="0.3">
      <c r="A2" s="4">
        <v>25</v>
      </c>
      <c r="B2" s="2">
        <v>3</v>
      </c>
      <c r="C2" s="2">
        <v>5</v>
      </c>
      <c r="E2" s="1">
        <v>132</v>
      </c>
      <c r="F2" s="1">
        <v>14</v>
      </c>
      <c r="G2" s="3">
        <f>E2-F2</f>
        <v>118</v>
      </c>
      <c r="I2" s="14">
        <v>10</v>
      </c>
      <c r="J2" s="3">
        <f>225-5.625*($B2-0.5+(I2-0.5*G2)/G2)</f>
        <v>213.27330508474577</v>
      </c>
      <c r="K2" s="6">
        <f>120+12*(C2-0.5)</f>
        <v>174</v>
      </c>
      <c r="O2" s="8">
        <v>7.0000000000000007E-2</v>
      </c>
      <c r="P2" s="9">
        <v>1.0999999999999999E-2</v>
      </c>
      <c r="R2" s="10">
        <v>60</v>
      </c>
      <c r="V2" s="7">
        <v>222</v>
      </c>
      <c r="W2" s="13">
        <f t="shared" ref="W2:W65" si="0">SQRT(0.1^2+0.1^2+1/V2)*100</f>
        <v>15.653914687548451</v>
      </c>
      <c r="Z2" s="13" t="e">
        <f>SQRT(0.1^2+0.1^2+1/Y2)</f>
        <v>#DIV/0!</v>
      </c>
      <c r="AB2">
        <v>20</v>
      </c>
      <c r="AC2">
        <v>20</v>
      </c>
      <c r="AD2" s="53"/>
      <c r="AE2" s="5">
        <f>A2</f>
        <v>25</v>
      </c>
      <c r="AF2" s="8">
        <f>(O2*AB2+O3*AB3+O4*AB4)/100</f>
        <v>0.11559999999999998</v>
      </c>
      <c r="AG2" s="56">
        <f>(P2*AC2+P3*AC3+P4*AC4)/100</f>
        <v>2.3399999999999997E-2</v>
      </c>
      <c r="AH2" s="3">
        <f>225-5.625*($B2-0.5)</f>
        <v>210.9375</v>
      </c>
      <c r="AI2">
        <f>K2</f>
        <v>174</v>
      </c>
      <c r="AK2" s="2">
        <v>0</v>
      </c>
      <c r="AL2" s="7">
        <f t="shared" ref="AL2:AL65" si="1">AK2*R2*0.000001</f>
        <v>0</v>
      </c>
      <c r="AM2" s="8">
        <f t="shared" ref="AM2:AM65" si="2">O2-AL2</f>
        <v>7.0000000000000007E-2</v>
      </c>
      <c r="AN2" s="56">
        <f t="shared" ref="AN2:AN65" si="3">S2*AK2*0.000001</f>
        <v>0</v>
      </c>
      <c r="AO2" s="9">
        <f t="shared" ref="AO2:AO65" si="4">P2-AN2</f>
        <v>1.0999999999999999E-2</v>
      </c>
      <c r="AQ2" s="90">
        <f>($AB2*AM2+$AB3*AM3+$AB4*AM4)/100</f>
        <v>0.11559999999999998</v>
      </c>
      <c r="AS2" s="95">
        <f>($AB2*AO2+$AB3*AO3+$AB4*AO4)/100</f>
        <v>2.3399999999999997E-2</v>
      </c>
      <c r="AU2" s="10">
        <f>($AB2*R2+$AB3*R3+$AB4*R4)/100</f>
        <v>225.5</v>
      </c>
      <c r="AV2" s="11">
        <f>($AB2*S2+$AB3*S3+$AB4*S4)/100</f>
        <v>0</v>
      </c>
      <c r="AW2" s="12">
        <f>($AB2*T2+$AB3*T3+$AB4*T4)/100</f>
        <v>0</v>
      </c>
      <c r="AX2" s="147">
        <f>($AB2*AK2+$AB3*AK3+$AB4*AK4)/100</f>
        <v>0</v>
      </c>
      <c r="BO2">
        <f>(31*1.5*10*6.5-$AK$2)*$R$2/(1000000)+$O$2</f>
        <v>0.25135000000000002</v>
      </c>
      <c r="BP2">
        <f>(31*3*10*6.5-$AK2)*$R2/(1000000)+$O2</f>
        <v>0.43270000000000003</v>
      </c>
      <c r="BQ2">
        <f>(31*2*10*6.5-$AK2)*$R2/(1000000)+$O2</f>
        <v>0.31179999999999997</v>
      </c>
      <c r="BR2">
        <f>(31*10*6.5-$AK2)*$R2/(1000000)+$O2</f>
        <v>0.19090000000000001</v>
      </c>
      <c r="BS2" s="8">
        <f>($AB2*BO2+$AB3*BO3+$AB4*BO4)/100</f>
        <v>0.79717375000000001</v>
      </c>
      <c r="BT2" s="90">
        <f>($AB2*BP2+$AB3*BP3+$AB4*BP4)/100</f>
        <v>1.4787474999999999</v>
      </c>
      <c r="BU2" s="8">
        <f>($AB2*BQ2+$AB3*BQ3+$AB4*BQ4)/100</f>
        <v>1.024365</v>
      </c>
      <c r="BV2" s="90">
        <f>($AB2*BR2+$AB3*BR3+$AB4*BR4)/100</f>
        <v>0.56998249999999995</v>
      </c>
      <c r="BW2" s="4">
        <f t="shared" ref="BW2:BW65" si="5">A2</f>
        <v>25</v>
      </c>
    </row>
    <row r="3" spans="1:75" thickTop="1" thickBot="1" x14ac:dyDescent="0.3">
      <c r="A3" s="4">
        <v>25</v>
      </c>
      <c r="B3" s="2">
        <v>3</v>
      </c>
      <c r="C3" s="2">
        <v>5</v>
      </c>
      <c r="E3" s="1">
        <v>132</v>
      </c>
      <c r="F3" s="1">
        <v>14</v>
      </c>
      <c r="G3" s="3">
        <f t="shared" ref="G3:G66" si="6">E3-F3</f>
        <v>118</v>
      </c>
      <c r="I3" s="2">
        <v>49</v>
      </c>
      <c r="J3" s="3">
        <f t="shared" ref="J3:J10" si="7">225-5.625*(B3-0.5+(I3-0.5*G3)/G3)</f>
        <v>211.41419491525423</v>
      </c>
      <c r="K3" s="6">
        <f t="shared" ref="K3:K66" si="8">120+12*(C3-0.5)</f>
        <v>174</v>
      </c>
      <c r="O3" s="8">
        <v>7.5999999999999998E-2</v>
      </c>
      <c r="P3" s="9">
        <v>1.2999999999999999E-2</v>
      </c>
      <c r="R3" s="10">
        <v>190</v>
      </c>
      <c r="V3" s="7">
        <v>614</v>
      </c>
      <c r="W3" s="13">
        <f t="shared" si="0"/>
        <v>14.706687082791287</v>
      </c>
      <c r="Z3" s="13" t="e">
        <f t="shared" ref="Z3:Z66" si="9">SQRT(0.1^2+0.1^2+1/Y3)</f>
        <v>#DIV/0!</v>
      </c>
      <c r="AB3">
        <v>65</v>
      </c>
      <c r="AC3">
        <v>65</v>
      </c>
      <c r="AE3" s="5">
        <f t="shared" ref="AE3:AE66" si="10">A3</f>
        <v>25</v>
      </c>
      <c r="AG3" s="56"/>
      <c r="AK3" s="2">
        <v>0</v>
      </c>
      <c r="AL3" s="7">
        <f t="shared" si="1"/>
        <v>0</v>
      </c>
      <c r="AM3" s="8">
        <f t="shared" si="2"/>
        <v>7.5999999999999998E-2</v>
      </c>
      <c r="AN3" s="56">
        <f t="shared" si="3"/>
        <v>0</v>
      </c>
      <c r="AO3" s="9">
        <f t="shared" si="4"/>
        <v>1.2999999999999999E-2</v>
      </c>
      <c r="AX3" s="147"/>
      <c r="BO3">
        <f t="shared" ref="BO3:BO66" si="11">(31*1.5*10*6.5-AK3)*R3/(1000000)+O3</f>
        <v>0.65027499999999994</v>
      </c>
      <c r="BP3">
        <f t="shared" ref="BP3:BP65" si="12">(31*3*10*6.5-$AK3)*$R3/(1000000)+$O3</f>
        <v>1.22455</v>
      </c>
      <c r="BQ3">
        <f t="shared" ref="BQ3:BQ66" si="13">(31*2*10*6.5-$AK3)*$R3/(1000000)+$O3</f>
        <v>0.8417</v>
      </c>
      <c r="BR3">
        <f t="shared" ref="BR3:BR66" si="14">(31*10*6.5-$AK3)*$R3/(1000000)+$O3</f>
        <v>0.45885000000000004</v>
      </c>
      <c r="BS3" s="8"/>
      <c r="BT3" s="90"/>
      <c r="BU3" s="8"/>
      <c r="BV3" s="90"/>
      <c r="BW3" s="4">
        <f t="shared" si="5"/>
        <v>25</v>
      </c>
    </row>
    <row r="4" spans="1:75" s="27" customFormat="1" thickTop="1" thickBot="1" x14ac:dyDescent="0.3">
      <c r="A4" s="21">
        <v>25</v>
      </c>
      <c r="B4" s="22">
        <v>3</v>
      </c>
      <c r="C4" s="22">
        <v>5</v>
      </c>
      <c r="D4" s="23"/>
      <c r="E4" s="24">
        <v>132</v>
      </c>
      <c r="F4" s="24">
        <v>14</v>
      </c>
      <c r="G4" s="25">
        <f t="shared" si="6"/>
        <v>118</v>
      </c>
      <c r="H4" s="23"/>
      <c r="I4" s="22">
        <v>108</v>
      </c>
      <c r="J4" s="3">
        <f t="shared" si="7"/>
        <v>208.60169491525423</v>
      </c>
      <c r="K4" s="48">
        <f t="shared" si="8"/>
        <v>174</v>
      </c>
      <c r="L4" s="23"/>
      <c r="N4" s="23"/>
      <c r="O4" s="28">
        <v>0.34799999999999998</v>
      </c>
      <c r="P4" s="29">
        <v>8.5000000000000006E-2</v>
      </c>
      <c r="Q4" s="23"/>
      <c r="R4" s="30">
        <v>600</v>
      </c>
      <c r="S4" s="31"/>
      <c r="T4" s="32"/>
      <c r="U4" s="23"/>
      <c r="V4" s="33">
        <v>920</v>
      </c>
      <c r="W4" s="75">
        <f t="shared" si="0"/>
        <v>14.52134860188238</v>
      </c>
      <c r="X4" s="5"/>
      <c r="Y4" s="56"/>
      <c r="Z4" s="13" t="e">
        <f t="shared" si="9"/>
        <v>#DIV/0!</v>
      </c>
      <c r="AB4" s="27">
        <v>15</v>
      </c>
      <c r="AC4" s="27">
        <v>15</v>
      </c>
      <c r="AE4" s="5">
        <f t="shared" si="10"/>
        <v>25</v>
      </c>
      <c r="AF4" s="28"/>
      <c r="AG4" s="55"/>
      <c r="AH4" s="3"/>
      <c r="AJ4" s="5"/>
      <c r="AK4" s="2">
        <v>0</v>
      </c>
      <c r="AL4" s="7">
        <f t="shared" si="1"/>
        <v>0</v>
      </c>
      <c r="AM4" s="8">
        <f t="shared" si="2"/>
        <v>0.34799999999999998</v>
      </c>
      <c r="AN4" s="56">
        <f t="shared" si="3"/>
        <v>0</v>
      </c>
      <c r="AO4" s="9">
        <f t="shared" si="4"/>
        <v>8.5000000000000006E-2</v>
      </c>
      <c r="AP4" s="5"/>
      <c r="AQ4" s="91"/>
      <c r="AR4" s="5"/>
      <c r="AS4" s="96"/>
      <c r="AT4" s="5"/>
      <c r="AU4" s="30"/>
      <c r="AV4" s="31"/>
      <c r="AW4" s="32"/>
      <c r="AX4" s="147"/>
      <c r="BN4" s="5"/>
      <c r="BO4">
        <f t="shared" si="11"/>
        <v>2.1614999999999998</v>
      </c>
      <c r="BP4">
        <f>(31*3*10*6.5-$AK4)*$R4/(1000000)+$O4</f>
        <v>3.9749999999999996</v>
      </c>
      <c r="BQ4">
        <f t="shared" si="13"/>
        <v>2.766</v>
      </c>
      <c r="BR4">
        <f t="shared" si="14"/>
        <v>1.5569999999999999</v>
      </c>
      <c r="BS4" s="28"/>
      <c r="BT4" s="91"/>
      <c r="BU4" s="28"/>
      <c r="BV4" s="91"/>
      <c r="BW4" s="4">
        <f t="shared" si="5"/>
        <v>25</v>
      </c>
    </row>
    <row r="5" spans="1:75" thickTop="1" thickBot="1" x14ac:dyDescent="0.3">
      <c r="A5" s="15">
        <v>55</v>
      </c>
      <c r="B5" s="16">
        <v>6</v>
      </c>
      <c r="C5" s="16">
        <v>5</v>
      </c>
      <c r="D5" s="17"/>
      <c r="E5" s="1">
        <v>134</v>
      </c>
      <c r="F5" s="1">
        <v>12</v>
      </c>
      <c r="G5" s="18">
        <f t="shared" si="6"/>
        <v>122</v>
      </c>
      <c r="H5" s="17"/>
      <c r="I5" s="19">
        <v>10</v>
      </c>
      <c r="J5" s="3">
        <f t="shared" si="7"/>
        <v>196.4139344262295</v>
      </c>
      <c r="K5" s="20">
        <f t="shared" si="8"/>
        <v>174</v>
      </c>
      <c r="L5" s="17"/>
      <c r="N5" s="17"/>
      <c r="O5" s="8">
        <v>0.30499999999999999</v>
      </c>
      <c r="P5" s="9">
        <v>6.5000000000000002E-2</v>
      </c>
      <c r="Q5" s="17"/>
      <c r="R5" s="10">
        <v>200</v>
      </c>
      <c r="U5" s="17"/>
      <c r="V5" s="7">
        <v>1418</v>
      </c>
      <c r="W5" s="13">
        <f t="shared" si="0"/>
        <v>14.389308050692193</v>
      </c>
      <c r="Z5" s="13" t="e">
        <f t="shared" si="9"/>
        <v>#DIV/0!</v>
      </c>
      <c r="AB5" s="72">
        <v>5</v>
      </c>
      <c r="AC5" s="72">
        <v>5</v>
      </c>
      <c r="AE5" s="5">
        <f t="shared" si="10"/>
        <v>55</v>
      </c>
      <c r="AF5" s="8">
        <f>(O5*AB5+O6*AB6+O7*AB7)/100</f>
        <v>0.21014999999999998</v>
      </c>
      <c r="AG5" s="56">
        <f>(P5*AC5+P6*AC6+P7*AC7)/100</f>
        <v>9.5449999999999993E-2</v>
      </c>
      <c r="AH5" s="3">
        <f>225-5.625*($B5-0.5)</f>
        <v>194.0625</v>
      </c>
      <c r="AI5">
        <f>K5</f>
        <v>174</v>
      </c>
      <c r="AK5" s="2">
        <v>0</v>
      </c>
      <c r="AL5" s="7">
        <f t="shared" si="1"/>
        <v>0</v>
      </c>
      <c r="AM5" s="8">
        <f t="shared" si="2"/>
        <v>0.30499999999999999</v>
      </c>
      <c r="AN5" s="56">
        <f t="shared" si="3"/>
        <v>0</v>
      </c>
      <c r="AO5" s="9">
        <f t="shared" si="4"/>
        <v>6.5000000000000002E-2</v>
      </c>
      <c r="AQ5" s="90">
        <f>($AB5*AM5+$AB6*AM6+$AB7*AM7)/100</f>
        <v>0.21014999999999998</v>
      </c>
      <c r="AS5" s="95">
        <f>($AB5*AO5+$AB6*AO6+$AB7*AO7)/100</f>
        <v>9.5449999999999993E-2</v>
      </c>
      <c r="AU5" s="10">
        <f>($AB5*R5+$AB6*R6+$AB7*R7)/100</f>
        <v>181</v>
      </c>
      <c r="AV5" s="11">
        <f>($AB5*S5+$AB6*S6+$AB7*S7)/100</f>
        <v>0</v>
      </c>
      <c r="AW5" s="12">
        <f>($AB5*T5+$AB6*T6+$AB7*T7)/100</f>
        <v>0</v>
      </c>
      <c r="AX5" s="147">
        <f>($AB5*AK5+$AB6*AK6+$AB7*AK7)/100</f>
        <v>0</v>
      </c>
      <c r="BO5">
        <f t="shared" si="11"/>
        <v>0.90949999999999998</v>
      </c>
      <c r="BP5">
        <f t="shared" si="12"/>
        <v>1.514</v>
      </c>
      <c r="BQ5">
        <f t="shared" si="13"/>
        <v>1.111</v>
      </c>
      <c r="BR5">
        <f t="shared" si="14"/>
        <v>0.70799999999999996</v>
      </c>
      <c r="BS5" s="8">
        <f>($AB5*BO5+$AB6*BO6+$AB7*BO7)/100</f>
        <v>0.75722250000000002</v>
      </c>
      <c r="BT5" s="90">
        <f>($AB5*BP5+$AB6*BP6+$AB7*BP7)/100</f>
        <v>1.304295</v>
      </c>
      <c r="BU5" s="8">
        <f>($AB5*BQ5+$AB6*BQ6+$AB7*BQ7)/100</f>
        <v>0.93957999999999986</v>
      </c>
      <c r="BV5" s="90">
        <f>($AB5*BR5+$AB6*BR6+$AB7*BR7)/100</f>
        <v>0.57486499999999996</v>
      </c>
      <c r="BW5" s="4">
        <f t="shared" si="5"/>
        <v>55</v>
      </c>
    </row>
    <row r="6" spans="1:75" thickTop="1" thickBot="1" x14ac:dyDescent="0.3">
      <c r="A6" s="4">
        <v>55</v>
      </c>
      <c r="B6" s="93">
        <v>6</v>
      </c>
      <c r="C6" s="93">
        <v>5</v>
      </c>
      <c r="E6" s="1">
        <v>134</v>
      </c>
      <c r="F6" s="1">
        <v>12</v>
      </c>
      <c r="G6" s="3">
        <f t="shared" si="6"/>
        <v>122</v>
      </c>
      <c r="I6" s="2">
        <v>61</v>
      </c>
      <c r="J6" s="3">
        <f t="shared" si="7"/>
        <v>194.0625</v>
      </c>
      <c r="K6" s="6">
        <f t="shared" si="8"/>
        <v>174</v>
      </c>
      <c r="O6" s="8">
        <v>0.20200000000000001</v>
      </c>
      <c r="P6" s="9">
        <v>9.8000000000000004E-2</v>
      </c>
      <c r="R6" s="10">
        <v>180</v>
      </c>
      <c r="V6" s="7">
        <v>819</v>
      </c>
      <c r="W6" s="13">
        <f t="shared" si="0"/>
        <v>14.567429842289004</v>
      </c>
      <c r="Z6" s="13" t="e">
        <f t="shared" si="9"/>
        <v>#DIV/0!</v>
      </c>
      <c r="AB6" s="72">
        <v>90</v>
      </c>
      <c r="AC6" s="72">
        <v>90</v>
      </c>
      <c r="AE6" s="5">
        <f t="shared" si="10"/>
        <v>55</v>
      </c>
      <c r="AG6" s="56"/>
      <c r="AK6" s="2">
        <v>0</v>
      </c>
      <c r="AL6" s="7">
        <f t="shared" si="1"/>
        <v>0</v>
      </c>
      <c r="AM6" s="8">
        <f t="shared" si="2"/>
        <v>0.20200000000000001</v>
      </c>
      <c r="AN6" s="56">
        <f t="shared" si="3"/>
        <v>0</v>
      </c>
      <c r="AO6" s="9">
        <f t="shared" si="4"/>
        <v>9.8000000000000004E-2</v>
      </c>
      <c r="AX6" s="147"/>
      <c r="BO6">
        <f t="shared" si="11"/>
        <v>0.7460500000000001</v>
      </c>
      <c r="BP6">
        <f t="shared" si="12"/>
        <v>1.2901</v>
      </c>
      <c r="BQ6">
        <f t="shared" si="13"/>
        <v>0.9274</v>
      </c>
      <c r="BR6">
        <f t="shared" si="14"/>
        <v>0.56469999999999998</v>
      </c>
      <c r="BS6" s="8"/>
      <c r="BT6" s="90"/>
      <c r="BU6" s="8"/>
      <c r="BV6" s="90"/>
      <c r="BW6" s="4">
        <f t="shared" si="5"/>
        <v>55</v>
      </c>
    </row>
    <row r="7" spans="1:75" s="40" customFormat="1" thickTop="1" thickBot="1" x14ac:dyDescent="0.3">
      <c r="A7" s="35">
        <v>55</v>
      </c>
      <c r="B7" s="36">
        <v>6</v>
      </c>
      <c r="C7" s="36">
        <v>5</v>
      </c>
      <c r="D7" s="37"/>
      <c r="E7" s="38">
        <v>134</v>
      </c>
      <c r="F7" s="38">
        <v>12</v>
      </c>
      <c r="G7" s="39">
        <f t="shared" si="6"/>
        <v>122</v>
      </c>
      <c r="H7" s="37"/>
      <c r="I7" s="36">
        <v>112</v>
      </c>
      <c r="J7" s="3">
        <f t="shared" si="7"/>
        <v>191.7110655737705</v>
      </c>
      <c r="K7" s="48">
        <f t="shared" si="8"/>
        <v>174</v>
      </c>
      <c r="L7" s="37"/>
      <c r="N7" s="37"/>
      <c r="O7" s="41">
        <v>0.26200000000000001</v>
      </c>
      <c r="P7" s="42">
        <v>0.08</v>
      </c>
      <c r="Q7" s="37"/>
      <c r="R7" s="43">
        <v>180</v>
      </c>
      <c r="S7" s="44"/>
      <c r="T7" s="45"/>
      <c r="U7" s="37"/>
      <c r="V7" s="46">
        <v>1116</v>
      </c>
      <c r="W7" s="75">
        <f t="shared" si="0"/>
        <v>14.455468635665278</v>
      </c>
      <c r="X7" s="5"/>
      <c r="Y7" s="56"/>
      <c r="Z7" s="13" t="e">
        <f t="shared" si="9"/>
        <v>#DIV/0!</v>
      </c>
      <c r="AB7" s="40">
        <v>5</v>
      </c>
      <c r="AC7" s="40">
        <v>5</v>
      </c>
      <c r="AE7" s="5">
        <f t="shared" si="10"/>
        <v>55</v>
      </c>
      <c r="AF7" s="28"/>
      <c r="AG7" s="55"/>
      <c r="AH7" s="3"/>
      <c r="AJ7" s="5"/>
      <c r="AK7" s="83">
        <v>0</v>
      </c>
      <c r="AL7" s="7">
        <f t="shared" si="1"/>
        <v>0</v>
      </c>
      <c r="AM7" s="8">
        <f t="shared" si="2"/>
        <v>0.26200000000000001</v>
      </c>
      <c r="AN7" s="56">
        <f t="shared" si="3"/>
        <v>0</v>
      </c>
      <c r="AO7" s="9">
        <f t="shared" si="4"/>
        <v>0.08</v>
      </c>
      <c r="AP7" s="5"/>
      <c r="AQ7" s="91"/>
      <c r="AR7" s="5"/>
      <c r="AS7" s="96"/>
      <c r="AT7" s="5"/>
      <c r="AU7" s="30"/>
      <c r="AV7" s="31"/>
      <c r="AW7" s="32"/>
      <c r="AX7" s="147"/>
      <c r="BN7" s="5"/>
      <c r="BO7">
        <f t="shared" si="11"/>
        <v>0.80605000000000004</v>
      </c>
      <c r="BP7">
        <f t="shared" si="12"/>
        <v>1.3501000000000001</v>
      </c>
      <c r="BQ7">
        <f t="shared" si="13"/>
        <v>0.98740000000000006</v>
      </c>
      <c r="BR7">
        <f t="shared" si="14"/>
        <v>0.62470000000000003</v>
      </c>
      <c r="BS7" s="28"/>
      <c r="BT7" s="91"/>
      <c r="BU7" s="28"/>
      <c r="BV7" s="91"/>
      <c r="BW7" s="4">
        <f t="shared" si="5"/>
        <v>55</v>
      </c>
    </row>
    <row r="8" spans="1:75" thickTop="1" thickBot="1" x14ac:dyDescent="0.3">
      <c r="A8" s="15">
        <v>64</v>
      </c>
      <c r="B8" s="16">
        <v>7</v>
      </c>
      <c r="C8" s="16">
        <v>4</v>
      </c>
      <c r="D8" s="17"/>
      <c r="E8" s="1">
        <v>137</v>
      </c>
      <c r="F8" s="1">
        <v>15</v>
      </c>
      <c r="G8" s="18">
        <f t="shared" si="6"/>
        <v>122</v>
      </c>
      <c r="H8" s="17"/>
      <c r="I8" s="19">
        <v>10</v>
      </c>
      <c r="J8" s="3">
        <f t="shared" si="7"/>
        <v>190.7889344262295</v>
      </c>
      <c r="K8" s="20">
        <f t="shared" si="8"/>
        <v>162</v>
      </c>
      <c r="L8" s="17"/>
      <c r="N8" s="17"/>
      <c r="O8" s="8">
        <v>6.9000000000000006E-2</v>
      </c>
      <c r="P8" s="9">
        <v>1.6E-2</v>
      </c>
      <c r="Q8" s="17"/>
      <c r="R8" s="10">
        <v>45</v>
      </c>
      <c r="U8" s="17"/>
      <c r="V8" s="7">
        <v>175</v>
      </c>
      <c r="W8" s="13">
        <f t="shared" si="0"/>
        <v>16.035674514745462</v>
      </c>
      <c r="Z8" s="13" t="e">
        <f t="shared" si="9"/>
        <v>#DIV/0!</v>
      </c>
      <c r="AB8" s="89">
        <v>5</v>
      </c>
      <c r="AC8" s="89">
        <v>5</v>
      </c>
      <c r="AE8" s="5">
        <f t="shared" si="10"/>
        <v>64</v>
      </c>
      <c r="AF8" s="8">
        <f>(O8*AB8+O9*AB9+O10*AB10)/100</f>
        <v>0.2084</v>
      </c>
      <c r="AG8" s="56">
        <f>(P8*AC8+P9*AC9+P10*AC10)/100</f>
        <v>0.15035000000000001</v>
      </c>
      <c r="AH8" s="3">
        <f>225-5.625*($B8-0.5)</f>
        <v>188.4375</v>
      </c>
      <c r="AI8">
        <f>K8</f>
        <v>162</v>
      </c>
      <c r="AK8" s="2">
        <v>0</v>
      </c>
      <c r="AL8" s="7">
        <f t="shared" si="1"/>
        <v>0</v>
      </c>
      <c r="AM8" s="8">
        <f t="shared" si="2"/>
        <v>6.9000000000000006E-2</v>
      </c>
      <c r="AN8" s="56">
        <f t="shared" si="3"/>
        <v>0</v>
      </c>
      <c r="AO8" s="9">
        <f t="shared" si="4"/>
        <v>1.6E-2</v>
      </c>
      <c r="AQ8" s="90">
        <f>($AB8*AM8+$AB9*AM9+$AB10*AM10)/100</f>
        <v>0.2084</v>
      </c>
      <c r="AS8" s="95">
        <f>($AB8*AO8+$AB9*AO9+$AB10*AO10)/100</f>
        <v>0.15035000000000001</v>
      </c>
      <c r="AU8" s="10">
        <f>($AB8*R8+$AB9*R9+$AB10*R10)/100</f>
        <v>119.25</v>
      </c>
      <c r="AV8" s="11">
        <f>($AB8*S8+$AB9*S9+$AB10*S10)/100</f>
        <v>0</v>
      </c>
      <c r="AW8" s="12">
        <f>($AB8*T8+$AB9*T9+$AB10*T10)/100</f>
        <v>0</v>
      </c>
      <c r="AX8" s="147">
        <f>($AB8*AK8+$AB9*AK9+$AB10*AK10)/100</f>
        <v>0</v>
      </c>
      <c r="BO8">
        <f t="shared" si="11"/>
        <v>0.20501250000000001</v>
      </c>
      <c r="BP8">
        <f t="shared" si="12"/>
        <v>0.34102500000000002</v>
      </c>
      <c r="BQ8">
        <f t="shared" si="13"/>
        <v>0.25035000000000002</v>
      </c>
      <c r="BR8">
        <f t="shared" si="14"/>
        <v>0.15967500000000001</v>
      </c>
      <c r="BS8" s="8">
        <f>($AB8*BO8+$AB9*BO9+$AB10*BO10)/100</f>
        <v>0.56883312500000005</v>
      </c>
      <c r="BT8" s="90">
        <f>($AB8*BP8+$AB9*BP9+$AB10*BP10)/100</f>
        <v>0.92926624999999996</v>
      </c>
      <c r="BU8" s="8">
        <f>($AB8*BQ8+$AB9*BQ9+$AB10*BQ10)/100</f>
        <v>0.68897750000000002</v>
      </c>
      <c r="BV8" s="90">
        <f>($AB8*BR8+$AB9*BR9+$AB10*BR10)/100</f>
        <v>0.44868875000000003</v>
      </c>
      <c r="BW8" s="4">
        <f t="shared" si="5"/>
        <v>64</v>
      </c>
    </row>
    <row r="9" spans="1:75" thickTop="1" thickBot="1" x14ac:dyDescent="0.3">
      <c r="A9" s="15">
        <v>64</v>
      </c>
      <c r="B9" s="93">
        <v>7</v>
      </c>
      <c r="C9" s="93">
        <v>4</v>
      </c>
      <c r="E9" s="1">
        <v>137</v>
      </c>
      <c r="F9" s="1">
        <v>15</v>
      </c>
      <c r="G9" s="3">
        <f t="shared" si="6"/>
        <v>122</v>
      </c>
      <c r="I9" s="2">
        <v>61</v>
      </c>
      <c r="J9" s="3">
        <f t="shared" si="7"/>
        <v>188.4375</v>
      </c>
      <c r="K9" s="6">
        <f t="shared" si="8"/>
        <v>162</v>
      </c>
      <c r="O9" s="8">
        <v>0.25700000000000001</v>
      </c>
      <c r="P9" s="9">
        <v>0.193</v>
      </c>
      <c r="R9" s="10">
        <v>140</v>
      </c>
      <c r="V9" s="7">
        <v>1207</v>
      </c>
      <c r="W9" s="13">
        <f t="shared" si="0"/>
        <v>14.432082460355545</v>
      </c>
      <c r="Z9" s="13" t="e">
        <f t="shared" si="9"/>
        <v>#DIV/0!</v>
      </c>
      <c r="AB9" s="89">
        <v>75</v>
      </c>
      <c r="AC9" s="89">
        <v>75</v>
      </c>
      <c r="AE9" s="5">
        <f t="shared" si="10"/>
        <v>64</v>
      </c>
      <c r="AG9" s="56"/>
      <c r="AK9" s="2">
        <v>0</v>
      </c>
      <c r="AL9" s="7">
        <f t="shared" si="1"/>
        <v>0</v>
      </c>
      <c r="AM9" s="8">
        <f t="shared" si="2"/>
        <v>0.25700000000000001</v>
      </c>
      <c r="AN9" s="56">
        <f t="shared" si="3"/>
        <v>0</v>
      </c>
      <c r="AO9" s="9">
        <f t="shared" si="4"/>
        <v>0.193</v>
      </c>
      <c r="AX9" s="147"/>
      <c r="BO9">
        <f t="shared" si="11"/>
        <v>0.68015000000000003</v>
      </c>
      <c r="BP9">
        <f t="shared" si="12"/>
        <v>1.1032999999999999</v>
      </c>
      <c r="BQ9">
        <f t="shared" si="13"/>
        <v>0.82120000000000004</v>
      </c>
      <c r="BR9">
        <f t="shared" si="14"/>
        <v>0.53910000000000002</v>
      </c>
      <c r="BS9" s="8"/>
      <c r="BT9" s="90"/>
      <c r="BU9" s="8"/>
      <c r="BV9" s="90"/>
      <c r="BW9" s="4">
        <f t="shared" si="5"/>
        <v>64</v>
      </c>
    </row>
    <row r="10" spans="1:75" s="27" customFormat="1" thickTop="1" thickBot="1" x14ac:dyDescent="0.3">
      <c r="A10" s="47">
        <v>64</v>
      </c>
      <c r="B10" s="22">
        <v>7</v>
      </c>
      <c r="C10" s="22">
        <v>4</v>
      </c>
      <c r="D10" s="23"/>
      <c r="E10" s="24">
        <v>137</v>
      </c>
      <c r="F10" s="24">
        <v>15</v>
      </c>
      <c r="G10" s="25">
        <f t="shared" si="6"/>
        <v>122</v>
      </c>
      <c r="H10" s="23"/>
      <c r="I10" s="22">
        <v>112</v>
      </c>
      <c r="J10" s="3">
        <f t="shared" si="7"/>
        <v>186.0860655737705</v>
      </c>
      <c r="K10" s="48">
        <f t="shared" si="8"/>
        <v>162</v>
      </c>
      <c r="L10" s="23"/>
      <c r="N10" s="23"/>
      <c r="O10" s="28">
        <v>6.0999999999999999E-2</v>
      </c>
      <c r="P10" s="29">
        <v>2.4E-2</v>
      </c>
      <c r="Q10" s="23"/>
      <c r="R10" s="30">
        <v>60</v>
      </c>
      <c r="S10" s="31"/>
      <c r="T10" s="32"/>
      <c r="U10" s="23"/>
      <c r="V10" s="33">
        <v>261</v>
      </c>
      <c r="W10" s="75">
        <f t="shared" si="0"/>
        <v>15.437427772955273</v>
      </c>
      <c r="X10" s="5"/>
      <c r="Y10" s="56"/>
      <c r="Z10" s="13" t="e">
        <f t="shared" si="9"/>
        <v>#DIV/0!</v>
      </c>
      <c r="AB10" s="27">
        <v>20</v>
      </c>
      <c r="AC10" s="27">
        <v>20</v>
      </c>
      <c r="AE10" s="5">
        <f t="shared" si="10"/>
        <v>64</v>
      </c>
      <c r="AF10" s="28"/>
      <c r="AG10" s="55"/>
      <c r="AH10" s="3"/>
      <c r="AJ10" s="5"/>
      <c r="AK10" s="2">
        <v>0</v>
      </c>
      <c r="AL10" s="7">
        <f t="shared" si="1"/>
        <v>0</v>
      </c>
      <c r="AM10" s="8">
        <f t="shared" si="2"/>
        <v>6.0999999999999999E-2</v>
      </c>
      <c r="AN10" s="56">
        <f t="shared" si="3"/>
        <v>0</v>
      </c>
      <c r="AO10" s="9">
        <f t="shared" si="4"/>
        <v>2.4E-2</v>
      </c>
      <c r="AP10" s="5"/>
      <c r="AQ10" s="91"/>
      <c r="AR10" s="5"/>
      <c r="AS10" s="96"/>
      <c r="AT10" s="5"/>
      <c r="AU10" s="30"/>
      <c r="AV10" s="31"/>
      <c r="AW10" s="32"/>
      <c r="AX10" s="147"/>
      <c r="BN10" s="5"/>
      <c r="BO10">
        <f t="shared" si="11"/>
        <v>0.24235000000000001</v>
      </c>
      <c r="BP10">
        <f t="shared" si="12"/>
        <v>0.42370000000000002</v>
      </c>
      <c r="BQ10">
        <f t="shared" si="13"/>
        <v>0.30279999999999996</v>
      </c>
      <c r="BR10">
        <f t="shared" si="14"/>
        <v>0.18190000000000001</v>
      </c>
      <c r="BS10" s="28"/>
      <c r="BT10" s="91"/>
      <c r="BU10" s="28"/>
      <c r="BV10" s="91"/>
      <c r="BW10" s="4">
        <f t="shared" si="5"/>
        <v>64</v>
      </c>
    </row>
    <row r="11" spans="1:75" thickTop="1" thickBot="1" x14ac:dyDescent="0.3">
      <c r="A11" s="15">
        <v>65</v>
      </c>
      <c r="B11" s="16">
        <v>7</v>
      </c>
      <c r="C11" s="16">
        <v>5</v>
      </c>
      <c r="D11" s="17"/>
      <c r="E11" s="1">
        <v>133</v>
      </c>
      <c r="F11" s="1">
        <v>10</v>
      </c>
      <c r="G11" s="18">
        <f t="shared" si="6"/>
        <v>123</v>
      </c>
      <c r="H11" s="17"/>
      <c r="I11" s="16">
        <v>10</v>
      </c>
      <c r="J11" s="18">
        <f>225-5.625*(B11-0.5)</f>
        <v>188.4375</v>
      </c>
      <c r="K11" s="20">
        <f t="shared" si="8"/>
        <v>174</v>
      </c>
      <c r="L11" s="17"/>
      <c r="N11" s="17"/>
      <c r="O11" s="8">
        <v>0.12</v>
      </c>
      <c r="P11" s="9">
        <v>4.8000000000000001E-2</v>
      </c>
      <c r="Q11" s="17"/>
      <c r="R11" s="10">
        <v>0</v>
      </c>
      <c r="S11" s="11">
        <v>50</v>
      </c>
      <c r="T11" s="12">
        <v>1600</v>
      </c>
      <c r="U11" s="17"/>
      <c r="V11" s="7">
        <v>339</v>
      </c>
      <c r="W11" s="13">
        <f t="shared" si="0"/>
        <v>15.1492087276447</v>
      </c>
      <c r="Z11" s="13" t="e">
        <f t="shared" si="9"/>
        <v>#DIV/0!</v>
      </c>
      <c r="AB11" s="72">
        <v>20</v>
      </c>
      <c r="AC11" s="72">
        <v>20</v>
      </c>
      <c r="AE11" s="5">
        <f t="shared" si="10"/>
        <v>65</v>
      </c>
      <c r="AF11" s="8">
        <f>(O11*AB11+O12*AB12+O13*AB13+O14*AB14+O15*AB15)/100</f>
        <v>0.22139999999999996</v>
      </c>
      <c r="AG11" s="56">
        <f>(P11*AC11+P12*AC12+P13*AC13+P14*AC14+P15*AC15)/100</f>
        <v>4.0999999999999995E-2</v>
      </c>
      <c r="AH11" s="3">
        <f>225-5.625*($B11-0.5)</f>
        <v>188.4375</v>
      </c>
      <c r="AI11">
        <f>K11</f>
        <v>174</v>
      </c>
      <c r="AK11" s="2">
        <v>600</v>
      </c>
      <c r="AL11" s="7">
        <f t="shared" si="1"/>
        <v>0</v>
      </c>
      <c r="AM11" s="8">
        <f t="shared" si="2"/>
        <v>0.12</v>
      </c>
      <c r="AN11" s="56">
        <f t="shared" si="3"/>
        <v>0.03</v>
      </c>
      <c r="AO11" s="9">
        <f t="shared" si="4"/>
        <v>1.8000000000000002E-2</v>
      </c>
      <c r="AQ11" s="90">
        <f>($AB11*AM11+$AB12*AM12+$AB13*AM13+$AB14*AM14+$AB15*AM15)/100</f>
        <v>0.14180000000000001</v>
      </c>
      <c r="AS11" s="95">
        <f>($AB11*AO11+$AB12*AO12+$AB13*AO13+$AB14*AO14+$AB15*AO15)/100</f>
        <v>1.9300000000000001E-2</v>
      </c>
      <c r="AU11" s="10">
        <f>($AB11*R11+$AB12*R12+$AB13*R13+$AB14*R14+$AB15*R15)/100</f>
        <v>158</v>
      </c>
      <c r="AV11" s="11">
        <f>($AB11*S11+$AB12*S12+$AB13*S13+$AB14*S14+$AB15*S15)/100</f>
        <v>41</v>
      </c>
      <c r="AW11" s="12">
        <f>($AB11*T11+$AB12*T12+$AB13*T13+$AB14*T14+$AB15*T15)/100</f>
        <v>1160</v>
      </c>
      <c r="AX11" s="147">
        <f>($AB11*AK11+$AB12*AK12+$AB13*AK13+$AB14*AK14+$AB15*AK15)/100</f>
        <v>520</v>
      </c>
      <c r="BO11">
        <f t="shared" si="11"/>
        <v>0.12</v>
      </c>
      <c r="BP11">
        <f t="shared" si="12"/>
        <v>0.12</v>
      </c>
      <c r="BQ11">
        <f t="shared" si="13"/>
        <v>0.12</v>
      </c>
      <c r="BR11">
        <f t="shared" si="14"/>
        <v>0.12</v>
      </c>
      <c r="BS11" s="8">
        <f>($AB11*BO11+$AB12*BO12+$AB13*BO13+$AB14*BO14+$AB15*BO15)/100</f>
        <v>0.6193550000000001</v>
      </c>
      <c r="BT11" s="90">
        <f>($AB11*BP11+$AB12*BP12+$AB13*BP13+$AB14*BP14+$AB15*BP15)/100</f>
        <v>1.0969100000000001</v>
      </c>
      <c r="BU11" s="8">
        <f>($AB11*BQ11+$AB12*BQ12+$AB13*BQ13+$AB14*BQ14+$AB15*BQ15)/100</f>
        <v>0.77854000000000001</v>
      </c>
      <c r="BV11" s="90">
        <f>($AB11*BR11+$AB12*BR12+$AB13*BR13+$AB14*BR14+$AB15*BR15)/100</f>
        <v>0.46016999999999997</v>
      </c>
      <c r="BW11" s="4">
        <f t="shared" si="5"/>
        <v>65</v>
      </c>
    </row>
    <row r="12" spans="1:75" thickTop="1" thickBot="1" x14ac:dyDescent="0.3">
      <c r="A12" s="15">
        <v>65</v>
      </c>
      <c r="B12" s="93">
        <v>7</v>
      </c>
      <c r="C12" s="93">
        <v>5</v>
      </c>
      <c r="E12" s="1">
        <v>133</v>
      </c>
      <c r="F12" s="1">
        <v>10</v>
      </c>
      <c r="G12" s="3">
        <f t="shared" si="6"/>
        <v>123</v>
      </c>
      <c r="I12" s="2">
        <v>36</v>
      </c>
      <c r="J12" s="3">
        <f>225-5.625*(B12-0.5)</f>
        <v>188.4375</v>
      </c>
      <c r="K12" s="6">
        <f t="shared" si="8"/>
        <v>174</v>
      </c>
      <c r="O12" s="8">
        <v>0.29099999999999998</v>
      </c>
      <c r="P12" s="9">
        <v>4.2000000000000003E-2</v>
      </c>
      <c r="R12" s="10">
        <v>200</v>
      </c>
      <c r="S12" s="11">
        <v>50</v>
      </c>
      <c r="T12" s="12">
        <v>1200</v>
      </c>
      <c r="V12" s="7">
        <v>619</v>
      </c>
      <c r="W12" s="13">
        <f t="shared" si="0"/>
        <v>14.702213739875663</v>
      </c>
      <c r="Z12" s="13" t="e">
        <f t="shared" si="9"/>
        <v>#DIV/0!</v>
      </c>
      <c r="AB12" s="72">
        <v>20</v>
      </c>
      <c r="AC12" s="72">
        <v>20</v>
      </c>
      <c r="AE12" s="5">
        <f t="shared" si="10"/>
        <v>65</v>
      </c>
      <c r="AG12" s="56"/>
      <c r="AK12" s="2">
        <v>600</v>
      </c>
      <c r="AL12" s="7">
        <f t="shared" si="1"/>
        <v>0.12</v>
      </c>
      <c r="AM12" s="8">
        <f t="shared" si="2"/>
        <v>0.17099999999999999</v>
      </c>
      <c r="AN12" s="56">
        <f t="shared" si="3"/>
        <v>0.03</v>
      </c>
      <c r="AO12" s="9">
        <f t="shared" si="4"/>
        <v>1.2000000000000004E-2</v>
      </c>
      <c r="AX12" s="147"/>
      <c r="BO12">
        <f t="shared" si="11"/>
        <v>0.77549999999999997</v>
      </c>
      <c r="BP12">
        <f t="shared" si="12"/>
        <v>1.38</v>
      </c>
      <c r="BQ12">
        <f t="shared" si="13"/>
        <v>0.97700000000000009</v>
      </c>
      <c r="BR12">
        <f t="shared" si="14"/>
        <v>0.57399999999999995</v>
      </c>
      <c r="BS12" s="8"/>
      <c r="BT12" s="90"/>
      <c r="BU12" s="8"/>
      <c r="BV12" s="90"/>
      <c r="BW12" s="4">
        <f t="shared" si="5"/>
        <v>65</v>
      </c>
    </row>
    <row r="13" spans="1:75" thickTop="1" thickBot="1" x14ac:dyDescent="0.3">
      <c r="A13" s="15">
        <v>65</v>
      </c>
      <c r="B13" s="93">
        <v>7</v>
      </c>
      <c r="C13" s="93">
        <v>5</v>
      </c>
      <c r="E13" s="1">
        <v>133</v>
      </c>
      <c r="F13" s="1">
        <v>10</v>
      </c>
      <c r="G13" s="3">
        <f t="shared" si="6"/>
        <v>123</v>
      </c>
      <c r="I13" s="2">
        <v>62</v>
      </c>
      <c r="J13" s="3">
        <f>225-5.625*(B13-0.5)</f>
        <v>188.4375</v>
      </c>
      <c r="K13" s="6">
        <f t="shared" si="8"/>
        <v>174</v>
      </c>
      <c r="O13" s="8">
        <v>0.26</v>
      </c>
      <c r="P13" s="9">
        <v>4.8000000000000001E-2</v>
      </c>
      <c r="R13" s="10">
        <v>170</v>
      </c>
      <c r="S13" s="11">
        <v>25</v>
      </c>
      <c r="T13" s="12">
        <v>1000</v>
      </c>
      <c r="V13" s="7">
        <v>577</v>
      </c>
      <c r="W13" s="13">
        <f t="shared" si="0"/>
        <v>14.742151217862654</v>
      </c>
      <c r="Z13" s="13" t="e">
        <f t="shared" si="9"/>
        <v>#DIV/0!</v>
      </c>
      <c r="AB13" s="72">
        <v>20</v>
      </c>
      <c r="AC13" s="72">
        <v>20</v>
      </c>
      <c r="AE13" s="5">
        <f t="shared" si="10"/>
        <v>65</v>
      </c>
      <c r="AG13" s="56"/>
      <c r="AK13" s="2">
        <v>500</v>
      </c>
      <c r="AL13" s="7">
        <f t="shared" si="1"/>
        <v>8.4999999999999992E-2</v>
      </c>
      <c r="AM13" s="8">
        <f t="shared" si="2"/>
        <v>0.17500000000000002</v>
      </c>
      <c r="AN13" s="56">
        <f t="shared" si="3"/>
        <v>1.2499999999999999E-2</v>
      </c>
      <c r="AO13" s="9">
        <f t="shared" si="4"/>
        <v>3.5500000000000004E-2</v>
      </c>
      <c r="AX13" s="147"/>
      <c r="BO13">
        <f t="shared" si="11"/>
        <v>0.68882500000000002</v>
      </c>
      <c r="BP13">
        <f t="shared" si="12"/>
        <v>1.20265</v>
      </c>
      <c r="BQ13">
        <f t="shared" si="13"/>
        <v>0.86009999999999998</v>
      </c>
      <c r="BR13">
        <f t="shared" si="14"/>
        <v>0.51754999999999995</v>
      </c>
      <c r="BS13" s="8"/>
      <c r="BT13" s="90"/>
      <c r="BU13" s="8"/>
      <c r="BV13" s="90"/>
      <c r="BW13" s="4">
        <f t="shared" si="5"/>
        <v>65</v>
      </c>
    </row>
    <row r="14" spans="1:75" thickTop="1" thickBot="1" x14ac:dyDescent="0.3">
      <c r="A14" s="15">
        <v>65</v>
      </c>
      <c r="B14" s="2">
        <v>7</v>
      </c>
      <c r="C14" s="2">
        <v>5</v>
      </c>
      <c r="E14" s="1">
        <v>133</v>
      </c>
      <c r="F14" s="1">
        <v>10</v>
      </c>
      <c r="G14" s="3">
        <f t="shared" si="6"/>
        <v>123</v>
      </c>
      <c r="I14" s="2">
        <v>88</v>
      </c>
      <c r="J14" s="3">
        <f>225-5.625*(B14-0.5)</f>
        <v>188.4375</v>
      </c>
      <c r="K14" s="6">
        <f t="shared" si="8"/>
        <v>174</v>
      </c>
      <c r="M14" t="s">
        <v>20</v>
      </c>
      <c r="O14" s="8">
        <v>0.19600000000000001</v>
      </c>
      <c r="P14" s="9">
        <v>5.1999999999999998E-2</v>
      </c>
      <c r="R14" s="10">
        <v>170</v>
      </c>
      <c r="S14" s="11">
        <v>40</v>
      </c>
      <c r="T14" s="12">
        <v>1100</v>
      </c>
      <c r="V14" s="7">
        <v>395</v>
      </c>
      <c r="W14" s="13">
        <f t="shared" si="0"/>
        <v>15.010544816768062</v>
      </c>
      <c r="Z14" s="13" t="e">
        <f t="shared" si="9"/>
        <v>#DIV/0!</v>
      </c>
      <c r="AB14" s="72">
        <v>20</v>
      </c>
      <c r="AC14" s="72">
        <v>20</v>
      </c>
      <c r="AE14" s="5">
        <f t="shared" si="10"/>
        <v>65</v>
      </c>
      <c r="AG14" s="56"/>
      <c r="AK14" s="2">
        <v>400</v>
      </c>
      <c r="AL14" s="7">
        <f t="shared" si="1"/>
        <v>6.7999999999999991E-2</v>
      </c>
      <c r="AM14" s="8">
        <f t="shared" si="2"/>
        <v>0.128</v>
      </c>
      <c r="AN14" s="56">
        <f t="shared" si="3"/>
        <v>1.6E-2</v>
      </c>
      <c r="AO14" s="9">
        <f t="shared" si="4"/>
        <v>3.5999999999999997E-2</v>
      </c>
      <c r="AX14" s="147"/>
      <c r="BO14">
        <f t="shared" si="11"/>
        <v>0.64182500000000009</v>
      </c>
      <c r="BP14">
        <f t="shared" si="12"/>
        <v>1.1556500000000001</v>
      </c>
      <c r="BQ14">
        <f t="shared" si="13"/>
        <v>0.81309999999999993</v>
      </c>
      <c r="BR14">
        <f t="shared" si="14"/>
        <v>0.47055000000000002</v>
      </c>
      <c r="BS14" s="8"/>
      <c r="BT14" s="90"/>
      <c r="BU14" s="8"/>
      <c r="BV14" s="90"/>
      <c r="BW14" s="4">
        <f t="shared" si="5"/>
        <v>65</v>
      </c>
    </row>
    <row r="15" spans="1:75" s="27" customFormat="1" thickTop="1" thickBot="1" x14ac:dyDescent="0.3">
      <c r="A15" s="47">
        <v>65</v>
      </c>
      <c r="B15" s="22">
        <v>7</v>
      </c>
      <c r="C15" s="22">
        <v>5</v>
      </c>
      <c r="D15" s="23"/>
      <c r="E15" s="24">
        <v>133</v>
      </c>
      <c r="F15" s="24">
        <v>10</v>
      </c>
      <c r="G15" s="25">
        <f t="shared" si="6"/>
        <v>123</v>
      </c>
      <c r="H15" s="23"/>
      <c r="I15" s="22">
        <v>113</v>
      </c>
      <c r="J15" s="25">
        <f>225-5.625*(B15-0.5)</f>
        <v>188.4375</v>
      </c>
      <c r="K15" s="48">
        <f t="shared" si="8"/>
        <v>174</v>
      </c>
      <c r="L15" s="23"/>
      <c r="M15" s="27" t="s">
        <v>19</v>
      </c>
      <c r="N15" s="23"/>
      <c r="O15" s="28">
        <v>0.24</v>
      </c>
      <c r="P15" s="29">
        <v>1.4999999999999999E-2</v>
      </c>
      <c r="Q15" s="23"/>
      <c r="R15" s="30">
        <v>250</v>
      </c>
      <c r="S15" s="31">
        <v>40</v>
      </c>
      <c r="T15" s="32">
        <v>900</v>
      </c>
      <c r="U15" s="23"/>
      <c r="V15" s="33">
        <v>466</v>
      </c>
      <c r="W15" s="75">
        <f t="shared" si="0"/>
        <v>14.881506223088145</v>
      </c>
      <c r="X15" s="5"/>
      <c r="Y15" s="56"/>
      <c r="Z15" s="13" t="e">
        <f t="shared" si="9"/>
        <v>#DIV/0!</v>
      </c>
      <c r="AB15" s="27">
        <v>20</v>
      </c>
      <c r="AC15" s="27">
        <v>20</v>
      </c>
      <c r="AE15" s="5">
        <f t="shared" si="10"/>
        <v>65</v>
      </c>
      <c r="AF15" s="28"/>
      <c r="AG15" s="55"/>
      <c r="AH15" s="3"/>
      <c r="AJ15" s="5"/>
      <c r="AK15" s="2">
        <v>500</v>
      </c>
      <c r="AL15" s="7">
        <f t="shared" si="1"/>
        <v>0.125</v>
      </c>
      <c r="AM15" s="8">
        <f t="shared" si="2"/>
        <v>0.11499999999999999</v>
      </c>
      <c r="AN15" s="56">
        <f t="shared" si="3"/>
        <v>0.02</v>
      </c>
      <c r="AO15" s="9">
        <f t="shared" si="4"/>
        <v>-5.000000000000001E-3</v>
      </c>
      <c r="AP15" s="5"/>
      <c r="AQ15" s="91"/>
      <c r="AR15" s="5"/>
      <c r="AS15" s="96"/>
      <c r="AT15" s="5"/>
      <c r="AU15" s="30"/>
      <c r="AV15" s="31"/>
      <c r="AW15" s="32"/>
      <c r="AX15" s="147"/>
      <c r="BN15" s="5"/>
      <c r="BO15">
        <f t="shared" si="11"/>
        <v>0.87062499999999998</v>
      </c>
      <c r="BP15">
        <f t="shared" si="12"/>
        <v>1.62625</v>
      </c>
      <c r="BQ15">
        <f t="shared" si="13"/>
        <v>1.1225000000000001</v>
      </c>
      <c r="BR15">
        <f t="shared" si="14"/>
        <v>0.61874999999999991</v>
      </c>
      <c r="BS15" s="28"/>
      <c r="BT15" s="91"/>
      <c r="BU15" s="28"/>
      <c r="BV15" s="91"/>
      <c r="BW15" s="4">
        <f t="shared" si="5"/>
        <v>65</v>
      </c>
    </row>
    <row r="16" spans="1:75" thickTop="1" thickBot="1" x14ac:dyDescent="0.3">
      <c r="A16" s="15">
        <v>135</v>
      </c>
      <c r="B16" s="16">
        <v>14</v>
      </c>
      <c r="C16" s="16">
        <v>5</v>
      </c>
      <c r="D16" s="17"/>
      <c r="E16" s="1">
        <v>134</v>
      </c>
      <c r="F16" s="1">
        <v>10</v>
      </c>
      <c r="G16" s="18">
        <f t="shared" si="6"/>
        <v>124</v>
      </c>
      <c r="H16" s="17"/>
      <c r="I16" s="19">
        <v>10</v>
      </c>
      <c r="J16" s="3">
        <f t="shared" ref="J16:J79" si="15">225-5.625*(B16-0.5+(I16-0.5*G16)/G16)</f>
        <v>151.42137096774195</v>
      </c>
      <c r="K16" s="20">
        <f t="shared" si="8"/>
        <v>174</v>
      </c>
      <c r="L16" s="17"/>
      <c r="N16" s="17"/>
      <c r="O16" s="8">
        <v>0.38500000000000001</v>
      </c>
      <c r="P16" s="9">
        <v>0.06</v>
      </c>
      <c r="Q16" s="17"/>
      <c r="R16" s="10">
        <v>250</v>
      </c>
      <c r="S16" s="11">
        <v>50</v>
      </c>
      <c r="T16" s="12">
        <v>800</v>
      </c>
      <c r="U16" s="17"/>
      <c r="V16" s="7">
        <v>677</v>
      </c>
      <c r="W16" s="13">
        <f t="shared" si="0"/>
        <v>14.65506904604891</v>
      </c>
      <c r="Z16" s="13" t="e">
        <f t="shared" si="9"/>
        <v>#DIV/0!</v>
      </c>
      <c r="AB16" s="72">
        <v>10</v>
      </c>
      <c r="AC16" s="72">
        <v>10</v>
      </c>
      <c r="AE16" s="5">
        <f t="shared" si="10"/>
        <v>135</v>
      </c>
      <c r="AF16" s="8">
        <f>(O16*AB16+O17*AB17+O18*AB18)/100</f>
        <v>0.22270000000000001</v>
      </c>
      <c r="AG16" s="56">
        <f>(P16*AC16+P17*AC17+P18*AC18)/100</f>
        <v>7.1999999999999995E-2</v>
      </c>
      <c r="AH16" s="3">
        <f>225-5.625*($B16-0.5)</f>
        <v>149.0625</v>
      </c>
      <c r="AI16">
        <f>K16</f>
        <v>174</v>
      </c>
      <c r="AK16" s="2">
        <v>700</v>
      </c>
      <c r="AL16" s="7">
        <f t="shared" si="1"/>
        <v>0.17499999999999999</v>
      </c>
      <c r="AM16" s="8">
        <f t="shared" si="2"/>
        <v>0.21000000000000002</v>
      </c>
      <c r="AN16" s="56">
        <f t="shared" si="3"/>
        <v>3.4999999999999996E-2</v>
      </c>
      <c r="AO16" s="9">
        <f t="shared" si="4"/>
        <v>2.5000000000000001E-2</v>
      </c>
      <c r="AQ16" s="90">
        <f>($AB16*AM16+$AB17*AM17+$AB18*AM18)/100</f>
        <v>0.10920000000000001</v>
      </c>
      <c r="AS16" s="95">
        <f>($AB16*AO16+$AB17*AO17+$AB18*AO18)/100</f>
        <v>4.9299999999999997E-2</v>
      </c>
      <c r="AU16" s="10">
        <f>($AB16*R16+$AB17*R17+$AB18*R18)/100</f>
        <v>205</v>
      </c>
      <c r="AV16" s="11">
        <f>($AB16*S16+$AB17*S17+$AB18*S18)/100</f>
        <v>41</v>
      </c>
      <c r="AW16" s="12">
        <f>($AB16*T16+$AB17*T17+$AB18*T18)/100</f>
        <v>755</v>
      </c>
      <c r="AX16" s="147">
        <f>($AB16*AK16+$AB17*AK17+$AB18*AK18)/100</f>
        <v>550</v>
      </c>
      <c r="BO16">
        <f t="shared" si="11"/>
        <v>0.96562499999999996</v>
      </c>
      <c r="BP16">
        <f t="shared" si="12"/>
        <v>1.7212499999999999</v>
      </c>
      <c r="BQ16">
        <f t="shared" si="13"/>
        <v>1.2175</v>
      </c>
      <c r="BR16">
        <f t="shared" si="14"/>
        <v>0.71375</v>
      </c>
      <c r="BS16" s="8">
        <f>($AB16*BO16+$AB17*BO17+$AB18*BO18)/100</f>
        <v>0.72881249999999997</v>
      </c>
      <c r="BT16" s="90">
        <f>($AB16*BP16+$AB17*BP17+$AB18*BP18)/100</f>
        <v>1.348425</v>
      </c>
      <c r="BU16" s="8">
        <f>($AB16*BQ16+$AB17*BQ17+$AB18*BQ18)/100</f>
        <v>0.93535000000000001</v>
      </c>
      <c r="BV16" s="90">
        <f>($AB16*BR16+$AB17*BR17+$AB18*BR18)/100</f>
        <v>0.52227500000000004</v>
      </c>
      <c r="BW16" s="4">
        <f t="shared" si="5"/>
        <v>135</v>
      </c>
    </row>
    <row r="17" spans="1:75" thickTop="1" thickBot="1" x14ac:dyDescent="0.3">
      <c r="A17" s="15">
        <v>135</v>
      </c>
      <c r="B17" s="93">
        <v>14</v>
      </c>
      <c r="C17" s="93">
        <v>5</v>
      </c>
      <c r="E17" s="1">
        <v>134</v>
      </c>
      <c r="F17" s="1">
        <v>10</v>
      </c>
      <c r="G17" s="3">
        <f t="shared" si="6"/>
        <v>124</v>
      </c>
      <c r="I17" s="2">
        <v>62</v>
      </c>
      <c r="J17" s="3">
        <f t="shared" si="15"/>
        <v>149.0625</v>
      </c>
      <c r="K17" s="6">
        <f t="shared" si="8"/>
        <v>174</v>
      </c>
      <c r="O17" s="8">
        <v>0.21199999999999999</v>
      </c>
      <c r="P17" s="9">
        <v>7.2999999999999995E-2</v>
      </c>
      <c r="R17" s="10">
        <v>200</v>
      </c>
      <c r="S17" s="11">
        <v>40</v>
      </c>
      <c r="T17" s="12">
        <v>800</v>
      </c>
      <c r="V17" s="7">
        <v>362</v>
      </c>
      <c r="W17" s="13">
        <f t="shared" si="0"/>
        <v>15.087223382460579</v>
      </c>
      <c r="Z17" s="13" t="e">
        <f t="shared" si="9"/>
        <v>#DIV/0!</v>
      </c>
      <c r="AB17" s="72">
        <v>75</v>
      </c>
      <c r="AC17" s="72">
        <v>75</v>
      </c>
      <c r="AE17" s="5">
        <f t="shared" si="10"/>
        <v>135</v>
      </c>
      <c r="AG17" s="56"/>
      <c r="AK17" s="2">
        <v>500</v>
      </c>
      <c r="AL17" s="7">
        <f t="shared" si="1"/>
        <v>9.9999999999999992E-2</v>
      </c>
      <c r="AM17" s="8">
        <f t="shared" si="2"/>
        <v>0.112</v>
      </c>
      <c r="AN17" s="56">
        <f t="shared" si="3"/>
        <v>0.02</v>
      </c>
      <c r="AO17" s="9">
        <f t="shared" si="4"/>
        <v>5.2999999999999992E-2</v>
      </c>
      <c r="AX17" s="147"/>
      <c r="BO17">
        <f t="shared" si="11"/>
        <v>0.71649999999999991</v>
      </c>
      <c r="BP17">
        <f t="shared" si="12"/>
        <v>1.321</v>
      </c>
      <c r="BQ17">
        <f t="shared" si="13"/>
        <v>0.91799999999999993</v>
      </c>
      <c r="BR17">
        <f t="shared" si="14"/>
        <v>0.51500000000000001</v>
      </c>
      <c r="BS17" s="8"/>
      <c r="BT17" s="90"/>
      <c r="BU17" s="8"/>
      <c r="BV17" s="90"/>
      <c r="BW17" s="4">
        <f t="shared" si="5"/>
        <v>135</v>
      </c>
    </row>
    <row r="18" spans="1:75" s="27" customFormat="1" thickTop="1" thickBot="1" x14ac:dyDescent="0.3">
      <c r="A18" s="47">
        <v>135</v>
      </c>
      <c r="B18" s="22">
        <v>14</v>
      </c>
      <c r="C18" s="22">
        <v>5</v>
      </c>
      <c r="D18" s="23"/>
      <c r="E18" s="24">
        <v>134</v>
      </c>
      <c r="F18" s="24">
        <v>10</v>
      </c>
      <c r="G18" s="25">
        <f t="shared" si="6"/>
        <v>124</v>
      </c>
      <c r="H18" s="23"/>
      <c r="I18" s="22">
        <v>114</v>
      </c>
      <c r="J18" s="3">
        <f t="shared" si="15"/>
        <v>146.70362903225805</v>
      </c>
      <c r="K18" s="48">
        <f t="shared" si="8"/>
        <v>174</v>
      </c>
      <c r="L18" s="23"/>
      <c r="N18" s="23"/>
      <c r="O18" s="28">
        <v>0.16800000000000001</v>
      </c>
      <c r="P18" s="29">
        <v>7.4999999999999997E-2</v>
      </c>
      <c r="Q18" s="23"/>
      <c r="R18" s="30">
        <v>200</v>
      </c>
      <c r="S18" s="31">
        <v>40</v>
      </c>
      <c r="T18" s="32">
        <v>500</v>
      </c>
      <c r="U18" s="23"/>
      <c r="V18" s="33">
        <v>357</v>
      </c>
      <c r="W18" s="75">
        <f t="shared" si="0"/>
        <v>15.1000398834504</v>
      </c>
      <c r="X18" s="5"/>
      <c r="Y18" s="56"/>
      <c r="Z18" s="13" t="e">
        <f t="shared" si="9"/>
        <v>#DIV/0!</v>
      </c>
      <c r="AB18" s="27">
        <v>15</v>
      </c>
      <c r="AC18" s="27">
        <v>15</v>
      </c>
      <c r="AE18" s="5">
        <f t="shared" si="10"/>
        <v>135</v>
      </c>
      <c r="AF18" s="28"/>
      <c r="AG18" s="55"/>
      <c r="AH18" s="3"/>
      <c r="AJ18" s="5"/>
      <c r="AK18" s="2">
        <v>700</v>
      </c>
      <c r="AL18" s="7">
        <f t="shared" si="1"/>
        <v>0.13999999999999999</v>
      </c>
      <c r="AM18" s="8">
        <f t="shared" si="2"/>
        <v>2.8000000000000025E-2</v>
      </c>
      <c r="AN18" s="56">
        <f t="shared" si="3"/>
        <v>2.7999999999999997E-2</v>
      </c>
      <c r="AO18" s="9">
        <f t="shared" si="4"/>
        <v>4.7E-2</v>
      </c>
      <c r="AP18" s="5"/>
      <c r="AQ18" s="91"/>
      <c r="AR18" s="5"/>
      <c r="AS18" s="96"/>
      <c r="AT18" s="5"/>
      <c r="AU18" s="30"/>
      <c r="AV18" s="31"/>
      <c r="AW18" s="32"/>
      <c r="AX18" s="147"/>
      <c r="BN18" s="5"/>
      <c r="BO18">
        <f t="shared" si="11"/>
        <v>0.63250000000000006</v>
      </c>
      <c r="BP18">
        <f t="shared" si="12"/>
        <v>1.2369999999999999</v>
      </c>
      <c r="BQ18">
        <f t="shared" si="13"/>
        <v>0.83400000000000007</v>
      </c>
      <c r="BR18">
        <f t="shared" si="14"/>
        <v>0.43100000000000005</v>
      </c>
      <c r="BS18" s="28"/>
      <c r="BT18" s="91"/>
      <c r="BU18" s="28"/>
      <c r="BV18" s="91"/>
      <c r="BW18" s="4">
        <f t="shared" si="5"/>
        <v>135</v>
      </c>
    </row>
    <row r="19" spans="1:75" thickTop="1" thickBot="1" x14ac:dyDescent="0.3">
      <c r="A19" s="15">
        <v>136</v>
      </c>
      <c r="B19" s="16">
        <v>14</v>
      </c>
      <c r="C19" s="16">
        <v>6</v>
      </c>
      <c r="D19" s="17"/>
      <c r="E19" s="1">
        <v>135</v>
      </c>
      <c r="F19" s="1">
        <v>10</v>
      </c>
      <c r="G19" s="18">
        <f t="shared" si="6"/>
        <v>125</v>
      </c>
      <c r="H19" s="17"/>
      <c r="I19" s="19">
        <v>10</v>
      </c>
      <c r="J19" s="3">
        <f t="shared" si="15"/>
        <v>151.42500000000001</v>
      </c>
      <c r="K19" s="20">
        <f t="shared" si="8"/>
        <v>186</v>
      </c>
      <c r="L19" s="17"/>
      <c r="N19" s="17"/>
      <c r="O19" s="8">
        <v>0.224</v>
      </c>
      <c r="P19" s="9">
        <v>0.04</v>
      </c>
      <c r="Q19" s="17"/>
      <c r="R19" s="10">
        <v>180</v>
      </c>
      <c r="S19" s="11">
        <v>45</v>
      </c>
      <c r="T19" s="12">
        <v>1600</v>
      </c>
      <c r="U19" s="17"/>
      <c r="V19" s="7">
        <v>644</v>
      </c>
      <c r="W19" s="13">
        <f t="shared" si="0"/>
        <v>14.680870216392455</v>
      </c>
      <c r="Z19" s="13" t="e">
        <f t="shared" si="9"/>
        <v>#DIV/0!</v>
      </c>
      <c r="AB19" s="72">
        <v>10</v>
      </c>
      <c r="AC19" s="72">
        <v>10</v>
      </c>
      <c r="AE19" s="5">
        <f t="shared" si="10"/>
        <v>136</v>
      </c>
      <c r="AF19" s="8">
        <f>(O19*AB19+O20*AB20+O21*AB21)/100</f>
        <v>0.51239999999999997</v>
      </c>
      <c r="AG19" s="56">
        <f>(P19*AC19+P20*AC20+P21*AC21)/100</f>
        <v>5.1500000000000004E-2</v>
      </c>
      <c r="AH19" s="3">
        <f>225-5.625*($B19-0.5)</f>
        <v>149.0625</v>
      </c>
      <c r="AI19">
        <f>K19</f>
        <v>186</v>
      </c>
      <c r="AK19" s="2">
        <v>400</v>
      </c>
      <c r="AL19" s="7">
        <f t="shared" si="1"/>
        <v>7.1999999999999995E-2</v>
      </c>
      <c r="AM19" s="8">
        <f t="shared" si="2"/>
        <v>0.15200000000000002</v>
      </c>
      <c r="AN19" s="56">
        <f t="shared" si="3"/>
        <v>1.7999999999999999E-2</v>
      </c>
      <c r="AO19" s="9">
        <f t="shared" si="4"/>
        <v>2.2000000000000002E-2</v>
      </c>
      <c r="AQ19" s="90">
        <f>($AB19*AM19+$AB20*AM20+$AB21*AM21)/100</f>
        <v>0.38339999999999996</v>
      </c>
      <c r="AS19" s="95">
        <f>($AB19*AO19+$AB20*AO20+$AB21*AO21)/100</f>
        <v>2.495E-2</v>
      </c>
      <c r="AU19" s="10">
        <f>($AB19*R19+$AB20*R20+$AB21*R21)/100</f>
        <v>216</v>
      </c>
      <c r="AV19" s="11">
        <f>($AB19*S19+$AB20*S20+$AB21*S21)/100</f>
        <v>45</v>
      </c>
      <c r="AW19" s="12">
        <f>($AB19*T19+$AB20*T20+$AB21*T21)/100</f>
        <v>1600</v>
      </c>
      <c r="AX19" s="147">
        <f>($AB19*AK19+$AB20*AK20+$AB21*AK21)/100</f>
        <v>590</v>
      </c>
      <c r="BO19">
        <f t="shared" si="11"/>
        <v>0.69605000000000006</v>
      </c>
      <c r="BP19">
        <f t="shared" si="12"/>
        <v>1.2401</v>
      </c>
      <c r="BQ19">
        <f t="shared" si="13"/>
        <v>0.87739999999999996</v>
      </c>
      <c r="BR19">
        <f t="shared" si="14"/>
        <v>0.51470000000000005</v>
      </c>
      <c r="BS19" s="8">
        <f>($AB19*BO19+$AB20*BO20+$AB21*BO21)/100</f>
        <v>1.03626</v>
      </c>
      <c r="BT19" s="90">
        <f>($AB19*BP19+$AB20*BP20+$AB21*BP21)/100</f>
        <v>1.6891200000000004</v>
      </c>
      <c r="BU19" s="8">
        <f>($AB19*BQ19+$AB20*BQ20+$AB21*BQ21)/100</f>
        <v>1.2538800000000001</v>
      </c>
      <c r="BV19" s="90">
        <f>($AB19*BR19+$AB20*BR20+$AB21*BR21)/100</f>
        <v>0.81864000000000003</v>
      </c>
      <c r="BW19" s="4">
        <f t="shared" si="5"/>
        <v>136</v>
      </c>
    </row>
    <row r="20" spans="1:75" thickTop="1" thickBot="1" x14ac:dyDescent="0.3">
      <c r="A20" s="4">
        <v>136</v>
      </c>
      <c r="B20" s="93">
        <v>14</v>
      </c>
      <c r="C20" s="93">
        <v>6</v>
      </c>
      <c r="E20" s="1">
        <v>135</v>
      </c>
      <c r="F20" s="1">
        <v>10</v>
      </c>
      <c r="G20" s="3">
        <f t="shared" si="6"/>
        <v>125</v>
      </c>
      <c r="I20" s="2">
        <v>62</v>
      </c>
      <c r="J20" s="3">
        <f t="shared" si="15"/>
        <v>149.08499999999998</v>
      </c>
      <c r="K20" s="6">
        <f t="shared" si="8"/>
        <v>186</v>
      </c>
      <c r="O20" s="8">
        <v>0.56699999999999995</v>
      </c>
      <c r="P20" s="9">
        <v>5.3999999999999999E-2</v>
      </c>
      <c r="R20" s="10">
        <v>210</v>
      </c>
      <c r="S20" s="11">
        <v>45</v>
      </c>
      <c r="T20" s="12">
        <v>1600</v>
      </c>
      <c r="V20" s="7">
        <v>1022</v>
      </c>
      <c r="W20" s="13">
        <f t="shared" si="0"/>
        <v>14.483947521726703</v>
      </c>
      <c r="Z20" s="13" t="e">
        <f t="shared" si="9"/>
        <v>#DIV/0!</v>
      </c>
      <c r="AB20" s="72">
        <v>80</v>
      </c>
      <c r="AC20" s="72">
        <v>80</v>
      </c>
      <c r="AE20" s="5">
        <f t="shared" si="10"/>
        <v>136</v>
      </c>
      <c r="AG20" s="56"/>
      <c r="AK20" s="2">
        <v>600</v>
      </c>
      <c r="AL20" s="7">
        <f t="shared" si="1"/>
        <v>0.126</v>
      </c>
      <c r="AM20" s="8">
        <f t="shared" si="2"/>
        <v>0.44099999999999995</v>
      </c>
      <c r="AN20" s="56">
        <f t="shared" si="3"/>
        <v>2.7E-2</v>
      </c>
      <c r="AO20" s="9">
        <f t="shared" si="4"/>
        <v>2.7E-2</v>
      </c>
      <c r="AX20" s="147"/>
      <c r="BO20">
        <f t="shared" si="11"/>
        <v>1.0757249999999998</v>
      </c>
      <c r="BP20">
        <f t="shared" si="12"/>
        <v>1.71045</v>
      </c>
      <c r="BQ20">
        <f t="shared" si="13"/>
        <v>1.2873000000000001</v>
      </c>
      <c r="BR20">
        <f t="shared" si="14"/>
        <v>0.86414999999999997</v>
      </c>
      <c r="BS20" s="8"/>
      <c r="BT20" s="90"/>
      <c r="BU20" s="8"/>
      <c r="BV20" s="90"/>
      <c r="BW20" s="4">
        <f t="shared" si="5"/>
        <v>136</v>
      </c>
    </row>
    <row r="21" spans="1:75" s="27" customFormat="1" thickTop="1" thickBot="1" x14ac:dyDescent="0.3">
      <c r="A21" s="21">
        <v>136</v>
      </c>
      <c r="B21" s="22">
        <v>14</v>
      </c>
      <c r="C21" s="22">
        <v>6</v>
      </c>
      <c r="D21" s="23"/>
      <c r="E21" s="24">
        <v>135</v>
      </c>
      <c r="F21" s="24">
        <v>10</v>
      </c>
      <c r="G21" s="25">
        <f t="shared" si="6"/>
        <v>125</v>
      </c>
      <c r="H21" s="23"/>
      <c r="I21" s="22">
        <v>115</v>
      </c>
      <c r="J21" s="3">
        <f>225-5.625*(B21-0.5+(I21-0.5*G21)/G21)</f>
        <v>146.69999999999999</v>
      </c>
      <c r="K21" s="48">
        <f t="shared" si="8"/>
        <v>186</v>
      </c>
      <c r="L21" s="23"/>
      <c r="N21" s="23"/>
      <c r="O21" s="28">
        <v>0.36399999999999999</v>
      </c>
      <c r="P21" s="29">
        <v>4.2999999999999997E-2</v>
      </c>
      <c r="Q21" s="23"/>
      <c r="R21" s="30">
        <v>300</v>
      </c>
      <c r="S21" s="31">
        <v>45</v>
      </c>
      <c r="T21" s="32">
        <v>1600</v>
      </c>
      <c r="U21" s="23"/>
      <c r="V21" s="33">
        <v>975</v>
      </c>
      <c r="W21" s="75">
        <f t="shared" si="0"/>
        <v>14.500221041639685</v>
      </c>
      <c r="X21" s="5"/>
      <c r="Y21" s="56"/>
      <c r="Z21" s="13" t="e">
        <f t="shared" si="9"/>
        <v>#DIV/0!</v>
      </c>
      <c r="AB21" s="27">
        <v>10</v>
      </c>
      <c r="AC21" s="27">
        <v>10</v>
      </c>
      <c r="AE21" s="5">
        <f t="shared" si="10"/>
        <v>136</v>
      </c>
      <c r="AF21" s="28"/>
      <c r="AG21" s="55"/>
      <c r="AH21" s="3"/>
      <c r="AJ21" s="5"/>
      <c r="AK21" s="2">
        <v>700</v>
      </c>
      <c r="AL21" s="7">
        <f t="shared" si="1"/>
        <v>0.21</v>
      </c>
      <c r="AM21" s="8">
        <f t="shared" si="2"/>
        <v>0.154</v>
      </c>
      <c r="AN21" s="56">
        <f t="shared" si="3"/>
        <v>3.15E-2</v>
      </c>
      <c r="AO21" s="9">
        <f t="shared" si="4"/>
        <v>1.1499999999999996E-2</v>
      </c>
      <c r="AP21" s="5"/>
      <c r="AQ21" s="91"/>
      <c r="AR21" s="5"/>
      <c r="AS21" s="96"/>
      <c r="AT21" s="5"/>
      <c r="AU21" s="30"/>
      <c r="AV21" s="31"/>
      <c r="AW21" s="32"/>
      <c r="AX21" s="147"/>
      <c r="BN21" s="5"/>
      <c r="BO21">
        <f t="shared" si="11"/>
        <v>1.0607500000000001</v>
      </c>
      <c r="BP21">
        <f t="shared" si="12"/>
        <v>1.9674999999999998</v>
      </c>
      <c r="BQ21">
        <f t="shared" si="13"/>
        <v>1.363</v>
      </c>
      <c r="BR21">
        <f t="shared" si="14"/>
        <v>0.75849999999999995</v>
      </c>
      <c r="BS21" s="28"/>
      <c r="BT21" s="91"/>
      <c r="BU21" s="28"/>
      <c r="BV21" s="91"/>
      <c r="BW21" s="4">
        <f t="shared" si="5"/>
        <v>136</v>
      </c>
    </row>
    <row r="22" spans="1:75" thickTop="1" thickBot="1" x14ac:dyDescent="0.3">
      <c r="A22" s="15">
        <v>144</v>
      </c>
      <c r="B22" s="16">
        <v>15</v>
      </c>
      <c r="C22" s="16">
        <v>4</v>
      </c>
      <c r="D22" s="17"/>
      <c r="E22" s="1">
        <v>135</v>
      </c>
      <c r="F22" s="1">
        <v>14</v>
      </c>
      <c r="G22" s="18">
        <f t="shared" si="6"/>
        <v>121</v>
      </c>
      <c r="H22" s="17"/>
      <c r="I22" s="19">
        <v>10</v>
      </c>
      <c r="J22" s="3">
        <f t="shared" si="15"/>
        <v>145.78512396694214</v>
      </c>
      <c r="K22" s="20">
        <f t="shared" si="8"/>
        <v>162</v>
      </c>
      <c r="L22" s="17"/>
      <c r="N22" s="17"/>
      <c r="O22" s="8">
        <v>7.4999999999999997E-2</v>
      </c>
      <c r="P22" s="9">
        <v>1.4999999999999999E-2</v>
      </c>
      <c r="Q22" s="17"/>
      <c r="R22" s="10">
        <v>70</v>
      </c>
      <c r="S22" s="11">
        <v>18</v>
      </c>
      <c r="T22" s="12">
        <v>1400</v>
      </c>
      <c r="U22" s="17"/>
      <c r="V22" s="7">
        <v>97</v>
      </c>
      <c r="W22" s="13">
        <f t="shared" si="0"/>
        <v>17.409560118083245</v>
      </c>
      <c r="Z22" s="13" t="e">
        <f t="shared" si="9"/>
        <v>#DIV/0!</v>
      </c>
      <c r="AB22" s="72">
        <v>10</v>
      </c>
      <c r="AC22" s="72">
        <v>10</v>
      </c>
      <c r="AE22" s="5">
        <f t="shared" si="10"/>
        <v>144</v>
      </c>
      <c r="AF22" s="8">
        <f>(O22*AB22+O23*AB23+O24*AB24)/100</f>
        <v>0.34769999999999995</v>
      </c>
      <c r="AG22" s="56">
        <f>(P22*AC22+P23*AC23+P24*AC24)/100</f>
        <v>5.1000000000000004E-2</v>
      </c>
      <c r="AH22" s="3">
        <f>225-5.625*($B22-0.5)</f>
        <v>143.4375</v>
      </c>
      <c r="AI22">
        <f>K22</f>
        <v>162</v>
      </c>
      <c r="AK22" s="2">
        <v>600</v>
      </c>
      <c r="AL22" s="7">
        <f t="shared" si="1"/>
        <v>4.1999999999999996E-2</v>
      </c>
      <c r="AM22" s="8">
        <f t="shared" si="2"/>
        <v>3.3000000000000002E-2</v>
      </c>
      <c r="AN22" s="56">
        <f t="shared" si="3"/>
        <v>1.0799999999999999E-2</v>
      </c>
      <c r="AO22" s="9">
        <f t="shared" si="4"/>
        <v>4.2000000000000006E-3</v>
      </c>
      <c r="AQ22" s="90">
        <f>($AB22*AM22+$AB23*AM23+$AB24*AM24)/100</f>
        <v>0.22609999999999997</v>
      </c>
      <c r="AS22" s="95">
        <f>($AB22*AO22+$AB23*AO23+$AB24*AO24)/100</f>
        <v>-5.2350000000000001E-2</v>
      </c>
      <c r="AU22" s="10">
        <f>($AB22*R22+$AB23*R23+$AB24*R24)/100</f>
        <v>152.19999999999999</v>
      </c>
      <c r="AV22" s="11">
        <f>($AB22*S22+$AB23*S23+$AB24*S24)/100</f>
        <v>119.3</v>
      </c>
      <c r="AW22" s="12">
        <f>($AB22*T22+$AB23*T23+$AB24*T24)/100</f>
        <v>2450</v>
      </c>
      <c r="AX22" s="147">
        <f>($AB22*AK22+$AB23*AK23+$AB24*AK24)/100</f>
        <v>830</v>
      </c>
      <c r="BO22">
        <f t="shared" si="11"/>
        <v>0.24457499999999999</v>
      </c>
      <c r="BP22">
        <f t="shared" si="12"/>
        <v>0.45615</v>
      </c>
      <c r="BQ22">
        <f t="shared" si="13"/>
        <v>0.31509999999999999</v>
      </c>
      <c r="BR22">
        <f t="shared" si="14"/>
        <v>0.17404999999999998</v>
      </c>
      <c r="BS22" s="8">
        <f>($AB22*BO22+$AB23*BO23+$AB24*BO24)/100</f>
        <v>0.68612449999999992</v>
      </c>
      <c r="BT22" s="90">
        <f>($AB22*BP22+$AB23*BP23+$AB24*BP24)/100</f>
        <v>1.1461490000000001</v>
      </c>
      <c r="BU22" s="8">
        <f>($AB22*BQ22+$AB23*BQ23+$AB24*BQ24)/100</f>
        <v>0.83946599999999993</v>
      </c>
      <c r="BV22" s="90">
        <f>($AB22*BR22+$AB23*BR23+$AB24*BR24)/100</f>
        <v>0.53278300000000001</v>
      </c>
      <c r="BW22" s="4">
        <f t="shared" si="5"/>
        <v>144</v>
      </c>
    </row>
    <row r="23" spans="1:75" thickTop="1" thickBot="1" x14ac:dyDescent="0.3">
      <c r="A23" s="4">
        <v>144</v>
      </c>
      <c r="B23" s="93">
        <v>15</v>
      </c>
      <c r="C23" s="93">
        <v>4</v>
      </c>
      <c r="E23" s="1">
        <v>135</v>
      </c>
      <c r="F23" s="1">
        <v>14</v>
      </c>
      <c r="G23" s="3">
        <f t="shared" si="6"/>
        <v>121</v>
      </c>
      <c r="I23" s="2">
        <v>60</v>
      </c>
      <c r="J23" s="3">
        <f t="shared" si="15"/>
        <v>143.46074380165288</v>
      </c>
      <c r="K23" s="6">
        <f t="shared" si="8"/>
        <v>162</v>
      </c>
      <c r="O23" s="8">
        <v>0.36899999999999999</v>
      </c>
      <c r="P23" s="9">
        <v>5.0999999999999997E-2</v>
      </c>
      <c r="R23" s="10">
        <v>140</v>
      </c>
      <c r="S23" s="11">
        <v>136</v>
      </c>
      <c r="T23" s="12">
        <v>2600</v>
      </c>
      <c r="V23" s="7">
        <v>327</v>
      </c>
      <c r="W23" s="13">
        <f t="shared" si="0"/>
        <v>15.184895118352044</v>
      </c>
      <c r="Z23" s="13" t="e">
        <f t="shared" si="9"/>
        <v>#DIV/0!</v>
      </c>
      <c r="AB23" s="72">
        <v>80</v>
      </c>
      <c r="AC23" s="72">
        <v>80</v>
      </c>
      <c r="AE23" s="5">
        <f t="shared" si="10"/>
        <v>144</v>
      </c>
      <c r="AG23" s="56"/>
      <c r="AK23" s="2">
        <v>900</v>
      </c>
      <c r="AL23" s="7">
        <f t="shared" si="1"/>
        <v>0.126</v>
      </c>
      <c r="AM23" s="8">
        <f t="shared" si="2"/>
        <v>0.24299999999999999</v>
      </c>
      <c r="AN23" s="56">
        <f t="shared" si="3"/>
        <v>0.12239999999999999</v>
      </c>
      <c r="AO23" s="9">
        <f t="shared" si="4"/>
        <v>-7.1399999999999991E-2</v>
      </c>
      <c r="AX23" s="147"/>
      <c r="BO23">
        <f t="shared" si="11"/>
        <v>0.66615000000000002</v>
      </c>
      <c r="BP23">
        <f t="shared" si="12"/>
        <v>1.0893000000000002</v>
      </c>
      <c r="BQ23">
        <f t="shared" si="13"/>
        <v>0.80719999999999992</v>
      </c>
      <c r="BR23">
        <f t="shared" si="14"/>
        <v>0.52510000000000001</v>
      </c>
      <c r="BS23" s="8"/>
      <c r="BT23" s="90"/>
      <c r="BU23" s="8"/>
      <c r="BV23" s="90"/>
      <c r="BW23" s="4">
        <f t="shared" si="5"/>
        <v>144</v>
      </c>
    </row>
    <row r="24" spans="1:75" s="27" customFormat="1" thickTop="1" thickBot="1" x14ac:dyDescent="0.3">
      <c r="A24" s="21">
        <v>144</v>
      </c>
      <c r="B24" s="22">
        <v>15</v>
      </c>
      <c r="C24" s="22">
        <v>4</v>
      </c>
      <c r="D24" s="23"/>
      <c r="E24" s="24">
        <v>135</v>
      </c>
      <c r="F24" s="24">
        <v>14</v>
      </c>
      <c r="G24" s="25">
        <f t="shared" si="6"/>
        <v>121</v>
      </c>
      <c r="H24" s="23"/>
      <c r="I24" s="22">
        <v>111</v>
      </c>
      <c r="J24" s="71">
        <f t="shared" si="15"/>
        <v>141.08987603305786</v>
      </c>
      <c r="K24" s="48">
        <f t="shared" si="8"/>
        <v>162</v>
      </c>
      <c r="L24" s="23"/>
      <c r="N24" s="23"/>
      <c r="O24" s="28">
        <v>0.45</v>
      </c>
      <c r="P24" s="29">
        <v>8.6999999999999994E-2</v>
      </c>
      <c r="Q24" s="23"/>
      <c r="R24" s="30">
        <v>332</v>
      </c>
      <c r="S24" s="31">
        <v>87</v>
      </c>
      <c r="T24" s="32">
        <v>2300</v>
      </c>
      <c r="U24" s="23"/>
      <c r="V24" s="33">
        <v>595</v>
      </c>
      <c r="W24" s="75">
        <f t="shared" si="0"/>
        <v>14.724358141836802</v>
      </c>
      <c r="X24" s="5"/>
      <c r="Y24" s="56"/>
      <c r="Z24" s="13" t="e">
        <f t="shared" si="9"/>
        <v>#DIV/0!</v>
      </c>
      <c r="AB24" s="27">
        <v>10</v>
      </c>
      <c r="AC24" s="27">
        <v>10</v>
      </c>
      <c r="AE24" s="5">
        <f t="shared" si="10"/>
        <v>144</v>
      </c>
      <c r="AF24" s="28"/>
      <c r="AG24" s="55"/>
      <c r="AH24" s="3"/>
      <c r="AJ24" s="5"/>
      <c r="AK24" s="2">
        <v>500</v>
      </c>
      <c r="AL24" s="7">
        <f t="shared" si="1"/>
        <v>0.16599999999999998</v>
      </c>
      <c r="AM24" s="8">
        <f t="shared" si="2"/>
        <v>0.28400000000000003</v>
      </c>
      <c r="AN24" s="56">
        <f t="shared" si="3"/>
        <v>4.3499999999999997E-2</v>
      </c>
      <c r="AO24" s="9">
        <f t="shared" si="4"/>
        <v>4.3499999999999997E-2</v>
      </c>
      <c r="AP24" s="5"/>
      <c r="AQ24" s="91"/>
      <c r="AR24" s="5"/>
      <c r="AS24" s="96"/>
      <c r="AT24" s="5"/>
      <c r="AU24" s="30"/>
      <c r="AV24" s="31"/>
      <c r="AW24" s="32"/>
      <c r="AX24" s="147"/>
      <c r="BN24" s="5"/>
      <c r="BO24">
        <f t="shared" si="11"/>
        <v>1.2874700000000001</v>
      </c>
      <c r="BP24">
        <f t="shared" si="12"/>
        <v>2.29094</v>
      </c>
      <c r="BQ24">
        <f t="shared" si="13"/>
        <v>1.6219599999999998</v>
      </c>
      <c r="BR24">
        <f t="shared" si="14"/>
        <v>0.95297999999999994</v>
      </c>
      <c r="BS24" s="28"/>
      <c r="BT24" s="91"/>
      <c r="BU24" s="28"/>
      <c r="BV24" s="91"/>
      <c r="BW24" s="4">
        <f t="shared" si="5"/>
        <v>144</v>
      </c>
    </row>
    <row r="25" spans="1:75" thickTop="1" thickBot="1" x14ac:dyDescent="0.3">
      <c r="A25" s="15">
        <v>145</v>
      </c>
      <c r="B25" s="16">
        <v>15</v>
      </c>
      <c r="C25" s="16">
        <v>5</v>
      </c>
      <c r="D25" s="17"/>
      <c r="E25" s="1">
        <v>135</v>
      </c>
      <c r="F25" s="1">
        <v>13</v>
      </c>
      <c r="G25" s="18">
        <f t="shared" si="6"/>
        <v>122</v>
      </c>
      <c r="H25" s="17"/>
      <c r="I25" s="19">
        <v>10</v>
      </c>
      <c r="J25" s="3">
        <f t="shared" si="15"/>
        <v>145.7889344262295</v>
      </c>
      <c r="K25" s="20">
        <f t="shared" si="8"/>
        <v>174</v>
      </c>
      <c r="L25" s="17"/>
      <c r="N25" s="17"/>
      <c r="O25" s="8">
        <v>4.9000000000000002E-2</v>
      </c>
      <c r="P25" s="9">
        <v>5.0999999999999997E-2</v>
      </c>
      <c r="Q25" s="17"/>
      <c r="R25" s="10">
        <v>70</v>
      </c>
      <c r="S25" s="11">
        <v>30</v>
      </c>
      <c r="T25" s="12">
        <v>900</v>
      </c>
      <c r="U25" s="17"/>
      <c r="V25" s="7">
        <v>0</v>
      </c>
      <c r="W25" s="13" t="e">
        <f t="shared" si="0"/>
        <v>#DIV/0!</v>
      </c>
      <c r="Z25" s="13" t="e">
        <f t="shared" si="9"/>
        <v>#DIV/0!</v>
      </c>
      <c r="AB25" s="72">
        <v>20</v>
      </c>
      <c r="AC25" s="72">
        <v>20</v>
      </c>
      <c r="AD25" t="s">
        <v>22</v>
      </c>
      <c r="AE25" s="5">
        <f t="shared" si="10"/>
        <v>145</v>
      </c>
      <c r="AF25" s="8">
        <f>(O25*AB25+O26*AB26+O27*AB27+O28*AB28+O29*AB29)/100</f>
        <v>0.31180000000000002</v>
      </c>
      <c r="AG25" s="56">
        <f>(P25*AC25+P26*AC26+P27*AC27+P28*AC28+P29*AC29)/100</f>
        <v>6.3800000000000009E-2</v>
      </c>
      <c r="AH25" s="3">
        <f>225-5.625*($B25-0.5)</f>
        <v>143.4375</v>
      </c>
      <c r="AI25">
        <f>K25</f>
        <v>174</v>
      </c>
      <c r="AK25" s="2">
        <v>700</v>
      </c>
      <c r="AL25" s="7">
        <f t="shared" si="1"/>
        <v>4.8999999999999995E-2</v>
      </c>
      <c r="AM25" s="8">
        <f t="shared" si="2"/>
        <v>0</v>
      </c>
      <c r="AN25" s="56">
        <f t="shared" si="3"/>
        <v>2.0999999999999998E-2</v>
      </c>
      <c r="AO25" s="9">
        <f t="shared" si="4"/>
        <v>0.03</v>
      </c>
      <c r="AQ25" s="90">
        <f>($AB25*AM25+$AB26*AM26+$AB27*AM27+$AB28*AM28+$AB29*AM29)/100</f>
        <v>0.26600000000000001</v>
      </c>
      <c r="AS25" s="95">
        <f>($AB25*AO25+$AB26*AO26+$AB27*AO27+$AB28*AO28+$AB29*AO29)/100</f>
        <v>-3.5399999999999994E-2</v>
      </c>
      <c r="AU25" s="10">
        <f>($AB25*R25+$AB26*R26+$AB27*R27+$AB28*R28+$AB29*R29)/100</f>
        <v>46</v>
      </c>
      <c r="AV25" s="11">
        <f>($AB25*S25+$AB26*S26+$AB27*S27+$AB28*S28+$AB29*S29)/100</f>
        <v>88.6</v>
      </c>
      <c r="AW25" s="12">
        <f>($AB25*T25+$AB26*T26+$AB27*T27+$AB28*T28+$AB29*T29)/100</f>
        <v>1800</v>
      </c>
      <c r="AX25" s="147">
        <f>($AB25*AK25+$AB26*AK26+$AB27*AK27+$AB28*AK28+$AB29*AK29)/100</f>
        <v>1060</v>
      </c>
      <c r="BO25">
        <f t="shared" si="11"/>
        <v>0.21157500000000001</v>
      </c>
      <c r="BP25">
        <f t="shared" si="12"/>
        <v>0.42314999999999997</v>
      </c>
      <c r="BQ25">
        <f t="shared" si="13"/>
        <v>0.28210000000000002</v>
      </c>
      <c r="BR25">
        <f t="shared" si="14"/>
        <v>0.14105000000000001</v>
      </c>
      <c r="BS25" s="8">
        <f>($AB25*BO25+$AB26*BO26+$AB27*BO27+$AB28*BO28+$AB29*BO29)/100</f>
        <v>0.40503500000000003</v>
      </c>
      <c r="BT25" s="90">
        <f>($AB25*BP25+$AB26*BP26+$AB27*BP27+$AB28*BP28+$AB29*BP29)/100</f>
        <v>0.54406999999999994</v>
      </c>
      <c r="BU25" s="8">
        <f>($AB25*BQ25+$AB26*BQ26+$AB27*BQ27+$AB28*BQ28+$AB29*BQ29)/100</f>
        <v>0.45138000000000006</v>
      </c>
      <c r="BV25" s="90">
        <f>($AB25*BR25+$AB26*BR26+$AB27*BR27+$AB28*BR28+$AB29*BR29)/100</f>
        <v>0.35869000000000001</v>
      </c>
      <c r="BW25" s="4">
        <f t="shared" si="5"/>
        <v>145</v>
      </c>
    </row>
    <row r="26" spans="1:75" thickTop="1" thickBot="1" x14ac:dyDescent="0.3">
      <c r="A26" s="4">
        <v>145</v>
      </c>
      <c r="B26" s="93">
        <v>15</v>
      </c>
      <c r="C26" s="93">
        <v>5</v>
      </c>
      <c r="E26" s="1">
        <v>135</v>
      </c>
      <c r="F26" s="1">
        <v>13</v>
      </c>
      <c r="G26" s="3">
        <f t="shared" si="6"/>
        <v>122</v>
      </c>
      <c r="I26" s="2">
        <v>35</v>
      </c>
      <c r="J26" s="3">
        <f t="shared" si="15"/>
        <v>144.63627049180326</v>
      </c>
      <c r="K26" s="6">
        <f t="shared" si="8"/>
        <v>174</v>
      </c>
      <c r="O26" s="8">
        <v>0.35</v>
      </c>
      <c r="P26" s="9">
        <v>6.5000000000000002E-2</v>
      </c>
      <c r="R26" s="10">
        <v>80</v>
      </c>
      <c r="S26" s="11">
        <v>95</v>
      </c>
      <c r="T26" s="12">
        <v>2000</v>
      </c>
      <c r="V26" s="7">
        <v>332</v>
      </c>
      <c r="W26" s="13">
        <f t="shared" si="0"/>
        <v>15.169722539575694</v>
      </c>
      <c r="Z26" s="13" t="e">
        <f t="shared" si="9"/>
        <v>#DIV/0!</v>
      </c>
      <c r="AB26" s="72">
        <v>20</v>
      </c>
      <c r="AC26" s="72">
        <v>20</v>
      </c>
      <c r="AD26" t="s">
        <v>22</v>
      </c>
      <c r="AE26" s="5">
        <f t="shared" si="10"/>
        <v>145</v>
      </c>
      <c r="AG26" s="56"/>
      <c r="AK26" s="2">
        <v>1000</v>
      </c>
      <c r="AL26" s="7">
        <f t="shared" si="1"/>
        <v>0.08</v>
      </c>
      <c r="AM26" s="8">
        <f t="shared" si="2"/>
        <v>0.26999999999999996</v>
      </c>
      <c r="AN26" s="56">
        <f t="shared" si="3"/>
        <v>9.5000000000000001E-2</v>
      </c>
      <c r="AO26" s="9">
        <f t="shared" si="4"/>
        <v>-0.03</v>
      </c>
      <c r="AX26" s="147"/>
      <c r="BO26">
        <f t="shared" si="11"/>
        <v>0.51180000000000003</v>
      </c>
      <c r="BP26">
        <f t="shared" si="12"/>
        <v>0.75360000000000005</v>
      </c>
      <c r="BQ26">
        <f t="shared" si="13"/>
        <v>0.59240000000000004</v>
      </c>
      <c r="BR26">
        <f t="shared" si="14"/>
        <v>0.43119999999999997</v>
      </c>
      <c r="BS26" s="8"/>
      <c r="BT26" s="90"/>
      <c r="BU26" s="8"/>
      <c r="BV26" s="90"/>
      <c r="BW26" s="4">
        <f t="shared" si="5"/>
        <v>145</v>
      </c>
    </row>
    <row r="27" spans="1:75" thickTop="1" thickBot="1" x14ac:dyDescent="0.3">
      <c r="A27" s="4">
        <v>145</v>
      </c>
      <c r="B27" s="93">
        <v>15</v>
      </c>
      <c r="C27" s="93">
        <v>5</v>
      </c>
      <c r="E27" s="1">
        <v>135</v>
      </c>
      <c r="F27" s="1">
        <v>13</v>
      </c>
      <c r="G27" s="3">
        <f t="shared" si="6"/>
        <v>122</v>
      </c>
      <c r="I27" s="2">
        <v>61</v>
      </c>
      <c r="J27" s="3">
        <f t="shared" si="15"/>
        <v>143.4375</v>
      </c>
      <c r="K27" s="6">
        <f t="shared" si="8"/>
        <v>174</v>
      </c>
      <c r="O27" s="8">
        <v>0.32500000000000001</v>
      </c>
      <c r="P27" s="9">
        <v>6.5000000000000002E-2</v>
      </c>
      <c r="R27" s="10">
        <v>30</v>
      </c>
      <c r="S27" s="11">
        <v>108</v>
      </c>
      <c r="T27" s="12">
        <v>2000</v>
      </c>
      <c r="V27" s="7">
        <v>308</v>
      </c>
      <c r="W27" s="13">
        <f t="shared" si="0"/>
        <v>15.24688599247507</v>
      </c>
      <c r="Z27" s="13" t="e">
        <f t="shared" si="9"/>
        <v>#DIV/0!</v>
      </c>
      <c r="AB27" s="72">
        <v>20</v>
      </c>
      <c r="AC27" s="72">
        <v>20</v>
      </c>
      <c r="AD27" t="s">
        <v>22</v>
      </c>
      <c r="AE27" s="5">
        <f t="shared" si="10"/>
        <v>145</v>
      </c>
      <c r="AG27" s="56"/>
      <c r="AK27" s="2">
        <v>1000</v>
      </c>
      <c r="AL27" s="7">
        <f t="shared" si="1"/>
        <v>0.03</v>
      </c>
      <c r="AM27" s="8">
        <f t="shared" si="2"/>
        <v>0.29500000000000004</v>
      </c>
      <c r="AN27" s="56">
        <f t="shared" si="3"/>
        <v>0.108</v>
      </c>
      <c r="AO27" s="9">
        <f t="shared" si="4"/>
        <v>-4.2999999999999997E-2</v>
      </c>
      <c r="AX27" s="147"/>
      <c r="BO27">
        <f t="shared" si="11"/>
        <v>0.38567499999999999</v>
      </c>
      <c r="BP27">
        <f t="shared" si="12"/>
        <v>0.47635000000000005</v>
      </c>
      <c r="BQ27">
        <f t="shared" si="13"/>
        <v>0.41589999999999999</v>
      </c>
      <c r="BR27">
        <f t="shared" si="14"/>
        <v>0.35544999999999999</v>
      </c>
      <c r="BS27" s="8"/>
      <c r="BT27" s="90"/>
      <c r="BU27" s="8"/>
      <c r="BV27" s="90"/>
      <c r="BW27" s="4">
        <f t="shared" si="5"/>
        <v>145</v>
      </c>
    </row>
    <row r="28" spans="1:75" thickTop="1" thickBot="1" x14ac:dyDescent="0.3">
      <c r="A28" s="4">
        <v>145</v>
      </c>
      <c r="B28" s="2">
        <v>15</v>
      </c>
      <c r="C28" s="2">
        <v>5</v>
      </c>
      <c r="E28" s="1">
        <v>135</v>
      </c>
      <c r="F28" s="1">
        <v>13</v>
      </c>
      <c r="G28" s="3">
        <f t="shared" si="6"/>
        <v>122</v>
      </c>
      <c r="I28" s="2">
        <v>87</v>
      </c>
      <c r="J28" s="3">
        <f t="shared" si="15"/>
        <v>142.23872950819674</v>
      </c>
      <c r="K28" s="6">
        <f t="shared" si="8"/>
        <v>174</v>
      </c>
      <c r="O28" s="8">
        <v>0.36599999999999999</v>
      </c>
      <c r="P28" s="9">
        <v>7.5999999999999998E-2</v>
      </c>
      <c r="R28" s="10">
        <v>0</v>
      </c>
      <c r="S28" s="11">
        <v>110</v>
      </c>
      <c r="T28" s="12">
        <v>2100</v>
      </c>
      <c r="V28" s="7">
        <v>428</v>
      </c>
      <c r="W28" s="13">
        <f t="shared" si="0"/>
        <v>14.945383433733255</v>
      </c>
      <c r="Z28" s="13" t="e">
        <f t="shared" si="9"/>
        <v>#DIV/0!</v>
      </c>
      <c r="AB28" s="72">
        <v>20</v>
      </c>
      <c r="AC28" s="72">
        <v>20</v>
      </c>
      <c r="AD28" t="s">
        <v>22</v>
      </c>
      <c r="AE28" s="5">
        <f t="shared" si="10"/>
        <v>145</v>
      </c>
      <c r="AG28" s="56"/>
      <c r="AK28" s="2">
        <v>1200</v>
      </c>
      <c r="AL28" s="7">
        <f t="shared" si="1"/>
        <v>0</v>
      </c>
      <c r="AM28" s="8">
        <f t="shared" si="2"/>
        <v>0.36599999999999999</v>
      </c>
      <c r="AN28" s="56">
        <f t="shared" si="3"/>
        <v>0.13200000000000001</v>
      </c>
      <c r="AO28" s="9">
        <f t="shared" si="4"/>
        <v>-5.6000000000000008E-2</v>
      </c>
      <c r="AX28" s="147"/>
      <c r="BO28">
        <f t="shared" si="11"/>
        <v>0.36599999999999999</v>
      </c>
      <c r="BP28">
        <f t="shared" si="12"/>
        <v>0.36599999999999999</v>
      </c>
      <c r="BQ28">
        <f t="shared" si="13"/>
        <v>0.36599999999999999</v>
      </c>
      <c r="BR28">
        <f t="shared" si="14"/>
        <v>0.36599999999999999</v>
      </c>
      <c r="BS28" s="8"/>
      <c r="BT28" s="90"/>
      <c r="BU28" s="8"/>
      <c r="BV28" s="90"/>
      <c r="BW28" s="4">
        <f t="shared" si="5"/>
        <v>145</v>
      </c>
    </row>
    <row r="29" spans="1:75" s="27" customFormat="1" thickTop="1" thickBot="1" x14ac:dyDescent="0.3">
      <c r="A29" s="21">
        <v>145</v>
      </c>
      <c r="B29" s="22">
        <v>15</v>
      </c>
      <c r="C29" s="22">
        <v>5</v>
      </c>
      <c r="D29" s="23"/>
      <c r="E29" s="49">
        <v>135</v>
      </c>
      <c r="F29" s="50">
        <v>13</v>
      </c>
      <c r="G29" s="25">
        <f t="shared" si="6"/>
        <v>122</v>
      </c>
      <c r="H29" s="23"/>
      <c r="I29" s="22">
        <v>111</v>
      </c>
      <c r="J29" s="3">
        <f t="shared" si="15"/>
        <v>141.13217213114754</v>
      </c>
      <c r="K29" s="48">
        <f t="shared" si="8"/>
        <v>174</v>
      </c>
      <c r="L29" s="23"/>
      <c r="N29" s="23"/>
      <c r="O29" s="28">
        <v>0.46899999999999997</v>
      </c>
      <c r="P29" s="29">
        <v>6.2E-2</v>
      </c>
      <c r="Q29" s="23"/>
      <c r="R29" s="30">
        <v>50</v>
      </c>
      <c r="S29" s="31">
        <v>100</v>
      </c>
      <c r="T29" s="32">
        <v>2000</v>
      </c>
      <c r="U29" s="23"/>
      <c r="V29" s="33">
        <v>480</v>
      </c>
      <c r="W29" s="75">
        <f t="shared" si="0"/>
        <v>14.860462083439174</v>
      </c>
      <c r="X29" s="5"/>
      <c r="Y29" s="56"/>
      <c r="Z29" s="13" t="e">
        <f t="shared" si="9"/>
        <v>#DIV/0!</v>
      </c>
      <c r="AB29" s="27">
        <v>20</v>
      </c>
      <c r="AC29" s="27">
        <v>20</v>
      </c>
      <c r="AD29" s="27" t="s">
        <v>22</v>
      </c>
      <c r="AE29" s="5">
        <f t="shared" si="10"/>
        <v>145</v>
      </c>
      <c r="AF29" s="28"/>
      <c r="AG29" s="55"/>
      <c r="AH29" s="3"/>
      <c r="AJ29" s="5"/>
      <c r="AK29" s="2">
        <v>1400</v>
      </c>
      <c r="AL29" s="7">
        <f t="shared" si="1"/>
        <v>6.9999999999999993E-2</v>
      </c>
      <c r="AM29" s="8">
        <f t="shared" si="2"/>
        <v>0.39899999999999997</v>
      </c>
      <c r="AN29" s="56">
        <f t="shared" si="3"/>
        <v>0.13999999999999999</v>
      </c>
      <c r="AO29" s="9">
        <f t="shared" si="4"/>
        <v>-7.7999999999999986E-2</v>
      </c>
      <c r="AP29" s="5"/>
      <c r="AQ29" s="91"/>
      <c r="AR29" s="5"/>
      <c r="AS29" s="96"/>
      <c r="AT29" s="5"/>
      <c r="AU29" s="30"/>
      <c r="AV29" s="31"/>
      <c r="AW29" s="32"/>
      <c r="AX29" s="147"/>
      <c r="BN29" s="5"/>
      <c r="BO29">
        <f t="shared" si="11"/>
        <v>0.55012499999999998</v>
      </c>
      <c r="BP29">
        <f t="shared" si="12"/>
        <v>0.70124999999999993</v>
      </c>
      <c r="BQ29">
        <f t="shared" si="13"/>
        <v>0.60050000000000003</v>
      </c>
      <c r="BR29">
        <f t="shared" si="14"/>
        <v>0.49974999999999997</v>
      </c>
      <c r="BS29" s="28"/>
      <c r="BT29" s="91"/>
      <c r="BU29" s="28"/>
      <c r="BV29" s="91"/>
      <c r="BW29" s="4">
        <f t="shared" si="5"/>
        <v>145</v>
      </c>
    </row>
    <row r="30" spans="1:75" thickTop="1" thickBot="1" x14ac:dyDescent="0.3">
      <c r="A30" s="15">
        <v>156</v>
      </c>
      <c r="B30" s="16">
        <v>18</v>
      </c>
      <c r="C30" s="16">
        <v>6</v>
      </c>
      <c r="D30" s="17"/>
      <c r="E30" s="1">
        <v>131</v>
      </c>
      <c r="F30" s="1">
        <v>11</v>
      </c>
      <c r="G30" s="18">
        <f t="shared" si="6"/>
        <v>120</v>
      </c>
      <c r="H30" s="17"/>
      <c r="I30" s="16">
        <v>10</v>
      </c>
      <c r="J30" s="3">
        <f>225-5.625*(B30-0.5-(I30-0.5*G30)/G30)</f>
        <v>124.21875</v>
      </c>
      <c r="K30" s="20">
        <f t="shared" si="8"/>
        <v>186</v>
      </c>
      <c r="L30" s="17"/>
      <c r="N30" s="17"/>
      <c r="O30" s="8">
        <v>0.216</v>
      </c>
      <c r="P30" s="9">
        <v>5.1999999999999998E-2</v>
      </c>
      <c r="Q30" s="17"/>
      <c r="R30" s="10">
        <v>198</v>
      </c>
      <c r="S30" s="11">
        <v>50</v>
      </c>
      <c r="T30" s="12">
        <v>1680</v>
      </c>
      <c r="U30" s="17"/>
      <c r="V30" s="7">
        <v>391</v>
      </c>
      <c r="W30" s="13">
        <f t="shared" si="0"/>
        <v>15.019169336895184</v>
      </c>
      <c r="Z30" s="13" t="e">
        <f t="shared" si="9"/>
        <v>#DIV/0!</v>
      </c>
      <c r="AB30" s="72">
        <v>10</v>
      </c>
      <c r="AC30" s="72">
        <v>10</v>
      </c>
      <c r="AE30" s="5">
        <f t="shared" si="10"/>
        <v>156</v>
      </c>
      <c r="AF30" s="8">
        <f>(O30*AB30+O31*AB31+O32*AB32)/100</f>
        <v>0.23085</v>
      </c>
      <c r="AG30" s="56">
        <f>(P30*AC30+P31*AC31+P32*AC32)/100</f>
        <v>6.5200000000000008E-2</v>
      </c>
      <c r="AH30" s="3">
        <f>225-5.625*($B30-0.5)</f>
        <v>126.5625</v>
      </c>
      <c r="AI30">
        <f>K30</f>
        <v>186</v>
      </c>
      <c r="AK30" s="2">
        <v>800</v>
      </c>
      <c r="AL30" s="7">
        <f t="shared" si="1"/>
        <v>0.15839999999999999</v>
      </c>
      <c r="AM30" s="8">
        <f t="shared" si="2"/>
        <v>5.7600000000000012E-2</v>
      </c>
      <c r="AN30" s="56">
        <f t="shared" si="3"/>
        <v>0.04</v>
      </c>
      <c r="AO30" s="9">
        <f t="shared" si="4"/>
        <v>1.1999999999999997E-2</v>
      </c>
      <c r="AQ30" s="90">
        <f>($AB30*AM30+$AB31*AM31+$AB32*AM32)/100</f>
        <v>7.1010000000000004E-2</v>
      </c>
      <c r="AS30" s="95">
        <f>($AB30*AO30+$AB31*AO31+$AB32*AO32)/100</f>
        <v>2.9760000000000012E-2</v>
      </c>
      <c r="AU30" s="10">
        <f>($AB30*R30+$AB31*R31+$AB32*R32)/100</f>
        <v>199.8</v>
      </c>
      <c r="AV30" s="11">
        <f>($AB30*S30+$AB31*S31+$AB32*S32)/100</f>
        <v>44.3</v>
      </c>
      <c r="AW30" s="12">
        <f>($AB30*T30+$AB31*T31+$AB32*T32)/100</f>
        <v>1593</v>
      </c>
      <c r="AX30" s="147">
        <f>($AB30*AK30+$AB31*AK31+$AB32*AK32)/100</f>
        <v>800</v>
      </c>
      <c r="BO30">
        <f t="shared" si="11"/>
        <v>0.65605499999999994</v>
      </c>
      <c r="BP30">
        <f t="shared" si="12"/>
        <v>1.25451</v>
      </c>
      <c r="BQ30">
        <f t="shared" si="13"/>
        <v>0.85553999999999997</v>
      </c>
      <c r="BR30">
        <f t="shared" si="14"/>
        <v>0.45657000000000003</v>
      </c>
      <c r="BS30" s="8">
        <f>($AB30*BO30+$AB31*BO31+$AB32*BO32)/100</f>
        <v>0.67490549999999994</v>
      </c>
      <c r="BT30" s="90">
        <f>($AB30*BP30+$AB31*BP31+$AB32*BP32)/100</f>
        <v>1.2788010000000001</v>
      </c>
      <c r="BU30" s="8">
        <f>($AB30*BQ30+$AB31*BQ31+$AB32*BQ32)/100</f>
        <v>0.87620399999999987</v>
      </c>
      <c r="BV30" s="90">
        <f>($AB30*BR30+$AB31*BR31+$AB32*BR32)/100</f>
        <v>0.47360699999999994</v>
      </c>
      <c r="BW30" s="4">
        <f t="shared" si="5"/>
        <v>156</v>
      </c>
    </row>
    <row r="31" spans="1:75" thickTop="1" thickBot="1" x14ac:dyDescent="0.3">
      <c r="A31" s="4">
        <v>156</v>
      </c>
      <c r="B31" s="2">
        <v>18</v>
      </c>
      <c r="C31" s="2">
        <v>6</v>
      </c>
      <c r="E31" s="1">
        <v>131</v>
      </c>
      <c r="F31" s="1">
        <v>11</v>
      </c>
      <c r="G31" s="3">
        <f t="shared" si="6"/>
        <v>120</v>
      </c>
      <c r="I31" s="2">
        <v>60</v>
      </c>
      <c r="J31" s="3">
        <f>225-5.625*(B31-0.5-(I31-0.5*G31)/G31)</f>
        <v>126.5625</v>
      </c>
      <c r="K31" s="6">
        <f t="shared" si="8"/>
        <v>186</v>
      </c>
      <c r="O31" s="8">
        <v>0.215</v>
      </c>
      <c r="P31" s="9">
        <v>7.0000000000000007E-2</v>
      </c>
      <c r="R31" s="10">
        <v>203</v>
      </c>
      <c r="S31" s="11">
        <v>41</v>
      </c>
      <c r="T31" s="12">
        <v>1660</v>
      </c>
      <c r="V31" s="7">
        <v>336</v>
      </c>
      <c r="W31" s="13">
        <f t="shared" si="0"/>
        <v>15.157899087997148</v>
      </c>
      <c r="Z31" s="13" t="e">
        <f t="shared" si="9"/>
        <v>#DIV/0!</v>
      </c>
      <c r="AB31" s="72">
        <v>75</v>
      </c>
      <c r="AC31" s="72">
        <v>75</v>
      </c>
      <c r="AE31" s="5">
        <f t="shared" si="10"/>
        <v>156</v>
      </c>
      <c r="AG31" s="56"/>
      <c r="AK31" s="2">
        <v>800</v>
      </c>
      <c r="AL31" s="7">
        <f t="shared" si="1"/>
        <v>0.16239999999999999</v>
      </c>
      <c r="AM31" s="8">
        <f t="shared" si="2"/>
        <v>5.2600000000000008E-2</v>
      </c>
      <c r="AN31" s="56">
        <f t="shared" si="3"/>
        <v>3.2799999999999996E-2</v>
      </c>
      <c r="AO31" s="9">
        <f t="shared" si="4"/>
        <v>3.7200000000000011E-2</v>
      </c>
      <c r="AX31" s="147"/>
      <c r="BO31">
        <f t="shared" si="11"/>
        <v>0.66616750000000002</v>
      </c>
      <c r="BP31">
        <f t="shared" si="12"/>
        <v>1.2797350000000001</v>
      </c>
      <c r="BQ31">
        <f t="shared" si="13"/>
        <v>0.87068999999999996</v>
      </c>
      <c r="BR31">
        <f t="shared" si="14"/>
        <v>0.46164499999999997</v>
      </c>
      <c r="BS31" s="8"/>
      <c r="BT31" s="90"/>
      <c r="BU31" s="8"/>
      <c r="BV31" s="90"/>
      <c r="BW31" s="4">
        <f t="shared" si="5"/>
        <v>156</v>
      </c>
    </row>
    <row r="32" spans="1:75" s="40" customFormat="1" thickTop="1" thickBot="1" x14ac:dyDescent="0.3">
      <c r="A32" s="35">
        <v>156</v>
      </c>
      <c r="B32" s="36">
        <v>18</v>
      </c>
      <c r="C32" s="36">
        <v>6</v>
      </c>
      <c r="D32" s="37"/>
      <c r="E32" s="38">
        <v>131</v>
      </c>
      <c r="F32" s="38">
        <v>11</v>
      </c>
      <c r="G32" s="39">
        <f t="shared" si="6"/>
        <v>120</v>
      </c>
      <c r="H32" s="37"/>
      <c r="I32" s="86">
        <v>110</v>
      </c>
      <c r="J32" s="3">
        <f>225-5.625*(B32-0.5-(I32-0.5*G32)/G32)</f>
        <v>128.90625</v>
      </c>
      <c r="K32" s="48">
        <f t="shared" si="8"/>
        <v>186</v>
      </c>
      <c r="L32" s="37"/>
      <c r="N32" s="37"/>
      <c r="O32" s="41">
        <v>0.32</v>
      </c>
      <c r="P32" s="42">
        <v>0.05</v>
      </c>
      <c r="Q32" s="37"/>
      <c r="R32" s="43">
        <v>185</v>
      </c>
      <c r="S32" s="44">
        <v>57</v>
      </c>
      <c r="T32" s="45">
        <v>1200</v>
      </c>
      <c r="U32" s="37"/>
      <c r="V32" s="46">
        <v>459</v>
      </c>
      <c r="W32" s="75">
        <f t="shared" si="0"/>
        <v>14.892497855454865</v>
      </c>
      <c r="X32" s="5"/>
      <c r="Y32" s="56"/>
      <c r="Z32" s="13" t="e">
        <f t="shared" si="9"/>
        <v>#DIV/0!</v>
      </c>
      <c r="AB32" s="40">
        <v>15</v>
      </c>
      <c r="AC32" s="40">
        <v>15</v>
      </c>
      <c r="AE32" s="5">
        <f t="shared" si="10"/>
        <v>156</v>
      </c>
      <c r="AF32" s="28"/>
      <c r="AG32" s="55"/>
      <c r="AH32" s="3"/>
      <c r="AJ32" s="5"/>
      <c r="AK32" s="83">
        <v>800</v>
      </c>
      <c r="AL32" s="7">
        <f t="shared" si="1"/>
        <v>0.14799999999999999</v>
      </c>
      <c r="AM32" s="8">
        <f t="shared" si="2"/>
        <v>0.17200000000000001</v>
      </c>
      <c r="AN32" s="56">
        <f t="shared" si="3"/>
        <v>4.5599999999999995E-2</v>
      </c>
      <c r="AO32" s="9">
        <f t="shared" si="4"/>
        <v>4.4000000000000081E-3</v>
      </c>
      <c r="AP32" s="5"/>
      <c r="AQ32" s="91"/>
      <c r="AR32" s="5"/>
      <c r="AS32" s="96"/>
      <c r="AT32" s="5"/>
      <c r="AU32" s="30"/>
      <c r="AV32" s="31"/>
      <c r="AW32" s="32"/>
      <c r="AX32" s="147"/>
      <c r="BN32" s="5"/>
      <c r="BO32">
        <f t="shared" si="11"/>
        <v>0.73116249999999994</v>
      </c>
      <c r="BP32">
        <f t="shared" si="12"/>
        <v>1.2903249999999999</v>
      </c>
      <c r="BQ32">
        <f t="shared" si="13"/>
        <v>0.91755000000000009</v>
      </c>
      <c r="BR32">
        <f t="shared" si="14"/>
        <v>0.54477500000000001</v>
      </c>
      <c r="BS32" s="28"/>
      <c r="BT32" s="91"/>
      <c r="BU32" s="28"/>
      <c r="BV32" s="91"/>
      <c r="BW32" s="4">
        <f t="shared" si="5"/>
        <v>156</v>
      </c>
    </row>
    <row r="33" spans="1:75" thickTop="1" thickBot="1" x14ac:dyDescent="0.3">
      <c r="A33" s="15">
        <v>161</v>
      </c>
      <c r="B33" s="16">
        <v>19</v>
      </c>
      <c r="C33" s="16">
        <v>1</v>
      </c>
      <c r="D33" s="17"/>
      <c r="E33" s="1">
        <v>144</v>
      </c>
      <c r="F33" s="1">
        <v>2</v>
      </c>
      <c r="G33" s="18">
        <f t="shared" si="6"/>
        <v>142</v>
      </c>
      <c r="H33" s="17"/>
      <c r="I33" s="19">
        <v>10</v>
      </c>
      <c r="J33" s="3">
        <f t="shared" si="15"/>
        <v>123.35387323943662</v>
      </c>
      <c r="K33" s="20">
        <f t="shared" si="8"/>
        <v>126</v>
      </c>
      <c r="L33" s="17"/>
      <c r="N33" s="17"/>
      <c r="O33" s="8">
        <v>0.13800000000000001</v>
      </c>
      <c r="P33" s="9">
        <v>2.8000000000000001E-2</v>
      </c>
      <c r="Q33" s="17"/>
      <c r="R33" s="10">
        <v>57</v>
      </c>
      <c r="S33" s="11">
        <v>27</v>
      </c>
      <c r="T33" s="12">
        <v>400</v>
      </c>
      <c r="U33" s="17"/>
      <c r="V33" s="7">
        <v>223</v>
      </c>
      <c r="W33" s="13">
        <f t="shared" si="0"/>
        <v>15.647461433962837</v>
      </c>
      <c r="Z33" s="13" t="e">
        <f t="shared" si="9"/>
        <v>#DIV/0!</v>
      </c>
      <c r="AB33" s="89">
        <v>10</v>
      </c>
      <c r="AC33" s="89">
        <v>10</v>
      </c>
      <c r="AE33" s="5">
        <f t="shared" si="10"/>
        <v>161</v>
      </c>
      <c r="AF33" s="8">
        <f>(O33*AB33+O34*AB34+O35*AB35)/100</f>
        <v>0.12740000000000001</v>
      </c>
      <c r="AG33" s="56">
        <f>(P33*AC33+P34*AC34+P35*AC35)/100</f>
        <v>0.10249999999999998</v>
      </c>
      <c r="AH33" s="3">
        <f>225-5.625*($B33-0.5)</f>
        <v>120.9375</v>
      </c>
      <c r="AI33">
        <f>K33</f>
        <v>126</v>
      </c>
      <c r="AK33" s="2">
        <v>400</v>
      </c>
      <c r="AL33" s="7">
        <f t="shared" si="1"/>
        <v>2.2799999999999997E-2</v>
      </c>
      <c r="AM33" s="8">
        <f t="shared" si="2"/>
        <v>0.11520000000000001</v>
      </c>
      <c r="AN33" s="56">
        <f t="shared" si="3"/>
        <v>1.0799999999999999E-2</v>
      </c>
      <c r="AO33" s="9">
        <f t="shared" si="4"/>
        <v>1.72E-2</v>
      </c>
      <c r="AQ33" s="90">
        <f>($AB33*AM33+$AB34*AM34+$AB35*AM35)/100</f>
        <v>0.12384000000000001</v>
      </c>
      <c r="AS33" s="95">
        <f>($AB33*AO33+$AB34*AO34+$AB35*AO35)/100</f>
        <v>4.6300000000000001E-2</v>
      </c>
      <c r="AU33" s="10">
        <f>($AB33*R33+$AB34*R34+$AB35*R35)/100</f>
        <v>8.9</v>
      </c>
      <c r="AV33" s="11">
        <f>($AB33*S33+$AB34*S34+$AB35*S35)/100</f>
        <v>140.5</v>
      </c>
      <c r="AW33" s="12">
        <f>($AB33*T33+$AB34*T34+$AB35*T35)/100</f>
        <v>1482</v>
      </c>
      <c r="AX33" s="147">
        <f>($AB33*AK33+$AB34*AK34+$AB35*AK35)/100</f>
        <v>400</v>
      </c>
      <c r="BO33">
        <f t="shared" si="11"/>
        <v>0.28748249999999997</v>
      </c>
      <c r="BP33">
        <f t="shared" si="12"/>
        <v>0.45976500000000003</v>
      </c>
      <c r="BQ33">
        <f t="shared" si="13"/>
        <v>0.34491000000000005</v>
      </c>
      <c r="BR33">
        <f t="shared" si="14"/>
        <v>0.23005500000000001</v>
      </c>
      <c r="BS33" s="8">
        <f>($AB33*BO33+$AB34*BO34+$AB35*BO35)/100</f>
        <v>0.15074025000000002</v>
      </c>
      <c r="BT33" s="90">
        <f>($AB33*BP33+$AB34*BP34+$AB35*BP35)/100</f>
        <v>0.17764050000000001</v>
      </c>
      <c r="BU33" s="8">
        <f>($AB33*BQ33+$AB34*BQ34+$AB35*BQ35)/100</f>
        <v>0.15970700000000002</v>
      </c>
      <c r="BV33" s="90">
        <f>($AB33*BR33+$AB34*BR34+$AB35*BR35)/100</f>
        <v>0.1417735</v>
      </c>
      <c r="BW33" s="4">
        <f t="shared" si="5"/>
        <v>161</v>
      </c>
    </row>
    <row r="34" spans="1:75" thickTop="1" thickBot="1" x14ac:dyDescent="0.3">
      <c r="A34" s="4">
        <v>161</v>
      </c>
      <c r="B34" s="93">
        <v>19</v>
      </c>
      <c r="C34" s="93">
        <v>1</v>
      </c>
      <c r="E34" s="1">
        <v>144</v>
      </c>
      <c r="F34" s="1">
        <v>2</v>
      </c>
      <c r="G34" s="3">
        <f t="shared" si="6"/>
        <v>142</v>
      </c>
      <c r="I34" s="2">
        <v>71</v>
      </c>
      <c r="J34" s="3">
        <f t="shared" si="15"/>
        <v>120.9375</v>
      </c>
      <c r="K34" s="6">
        <f t="shared" si="8"/>
        <v>126</v>
      </c>
      <c r="O34" s="8">
        <v>0.13200000000000001</v>
      </c>
      <c r="P34" s="9">
        <v>0.12</v>
      </c>
      <c r="R34" s="10">
        <v>0</v>
      </c>
      <c r="S34" s="11">
        <v>170</v>
      </c>
      <c r="T34" s="12">
        <v>1740</v>
      </c>
      <c r="V34" s="7">
        <v>110</v>
      </c>
      <c r="W34" s="13">
        <f t="shared" si="0"/>
        <v>17.056057308448835</v>
      </c>
      <c r="Z34" s="13" t="e">
        <f t="shared" si="9"/>
        <v>#DIV/0!</v>
      </c>
      <c r="AB34" s="89">
        <v>80</v>
      </c>
      <c r="AC34" s="89">
        <v>80</v>
      </c>
      <c r="AD34" t="s">
        <v>23</v>
      </c>
      <c r="AE34" s="5">
        <f t="shared" si="10"/>
        <v>161</v>
      </c>
      <c r="AG34" s="56"/>
      <c r="AK34" s="2">
        <v>400</v>
      </c>
      <c r="AL34" s="7">
        <f t="shared" si="1"/>
        <v>0</v>
      </c>
      <c r="AM34" s="8">
        <f t="shared" si="2"/>
        <v>0.13200000000000001</v>
      </c>
      <c r="AN34" s="56">
        <f t="shared" si="3"/>
        <v>6.7999999999999991E-2</v>
      </c>
      <c r="AO34" s="9">
        <f t="shared" si="4"/>
        <v>5.2000000000000005E-2</v>
      </c>
      <c r="AX34" s="147"/>
      <c r="BO34">
        <f t="shared" si="11"/>
        <v>0.13200000000000001</v>
      </c>
      <c r="BP34">
        <f t="shared" si="12"/>
        <v>0.13200000000000001</v>
      </c>
      <c r="BQ34">
        <f t="shared" si="13"/>
        <v>0.13200000000000001</v>
      </c>
      <c r="BR34">
        <f t="shared" si="14"/>
        <v>0.13200000000000001</v>
      </c>
      <c r="BS34" s="8"/>
      <c r="BT34" s="90"/>
      <c r="BU34" s="8"/>
      <c r="BV34" s="90"/>
      <c r="BW34" s="4">
        <f t="shared" si="5"/>
        <v>161</v>
      </c>
    </row>
    <row r="35" spans="1:75" s="27" customFormat="1" thickTop="1" thickBot="1" x14ac:dyDescent="0.3">
      <c r="A35" s="21">
        <v>161</v>
      </c>
      <c r="B35" s="22">
        <v>19</v>
      </c>
      <c r="C35" s="22">
        <v>1</v>
      </c>
      <c r="D35" s="23"/>
      <c r="E35" s="24">
        <v>144</v>
      </c>
      <c r="F35" s="24">
        <v>2</v>
      </c>
      <c r="G35" s="25">
        <f t="shared" si="6"/>
        <v>142</v>
      </c>
      <c r="H35" s="23"/>
      <c r="I35" s="22">
        <v>132</v>
      </c>
      <c r="J35" s="3">
        <f t="shared" si="15"/>
        <v>118.52112676056338</v>
      </c>
      <c r="K35" s="48">
        <f t="shared" si="8"/>
        <v>126</v>
      </c>
      <c r="L35" s="23"/>
      <c r="N35" s="23"/>
      <c r="O35" s="28">
        <v>0.08</v>
      </c>
      <c r="P35" s="29">
        <v>3.6999999999999998E-2</v>
      </c>
      <c r="Q35" s="23"/>
      <c r="R35" s="30">
        <v>32</v>
      </c>
      <c r="S35" s="31">
        <v>18</v>
      </c>
      <c r="T35" s="32">
        <v>500</v>
      </c>
      <c r="U35" s="23"/>
      <c r="V35" s="33">
        <v>118</v>
      </c>
      <c r="W35" s="75">
        <f t="shared" si="0"/>
        <v>16.874411477496466</v>
      </c>
      <c r="X35" s="5"/>
      <c r="Y35" s="56"/>
      <c r="Z35" s="13" t="e">
        <f t="shared" si="9"/>
        <v>#DIV/0!</v>
      </c>
      <c r="AB35" s="27">
        <v>10</v>
      </c>
      <c r="AC35" s="27">
        <v>10</v>
      </c>
      <c r="AE35" s="5">
        <f t="shared" si="10"/>
        <v>161</v>
      </c>
      <c r="AF35" s="28"/>
      <c r="AG35" s="55"/>
      <c r="AH35" s="3"/>
      <c r="AJ35" s="5"/>
      <c r="AK35" s="2">
        <v>400</v>
      </c>
      <c r="AL35" s="7">
        <f t="shared" si="1"/>
        <v>1.2799999999999999E-2</v>
      </c>
      <c r="AM35" s="8">
        <f t="shared" si="2"/>
        <v>6.720000000000001E-2</v>
      </c>
      <c r="AN35" s="56">
        <f t="shared" si="3"/>
        <v>7.1999999999999998E-3</v>
      </c>
      <c r="AO35" s="9">
        <f t="shared" si="4"/>
        <v>2.98E-2</v>
      </c>
      <c r="AP35" s="5"/>
      <c r="AQ35" s="91"/>
      <c r="AR35" s="5"/>
      <c r="AS35" s="96"/>
      <c r="AT35" s="5"/>
      <c r="AU35" s="30"/>
      <c r="AV35" s="31"/>
      <c r="AW35" s="32"/>
      <c r="AX35" s="147"/>
      <c r="BN35" s="5"/>
      <c r="BO35">
        <f t="shared" si="11"/>
        <v>0.16392000000000001</v>
      </c>
      <c r="BP35">
        <f t="shared" si="12"/>
        <v>0.26063999999999998</v>
      </c>
      <c r="BQ35">
        <f t="shared" si="13"/>
        <v>0.19616</v>
      </c>
      <c r="BR35">
        <f t="shared" si="14"/>
        <v>0.13167999999999999</v>
      </c>
      <c r="BS35" s="28"/>
      <c r="BT35" s="91"/>
      <c r="BU35" s="28"/>
      <c r="BV35" s="91"/>
      <c r="BW35" s="4">
        <f t="shared" si="5"/>
        <v>161</v>
      </c>
    </row>
    <row r="36" spans="1:75" thickTop="1" thickBot="1" x14ac:dyDescent="0.3">
      <c r="A36" s="15">
        <v>163</v>
      </c>
      <c r="B36" s="16">
        <v>19</v>
      </c>
      <c r="C36" s="16">
        <v>3</v>
      </c>
      <c r="D36" s="17"/>
      <c r="E36" s="1">
        <v>132</v>
      </c>
      <c r="F36" s="1">
        <v>6</v>
      </c>
      <c r="G36" s="18">
        <f t="shared" si="6"/>
        <v>126</v>
      </c>
      <c r="H36" s="17"/>
      <c r="I36" s="19">
        <v>10</v>
      </c>
      <c r="J36" s="3">
        <f t="shared" si="15"/>
        <v>123.30357142857143</v>
      </c>
      <c r="K36" s="20">
        <f t="shared" si="8"/>
        <v>150</v>
      </c>
      <c r="L36" s="17"/>
      <c r="N36" s="17"/>
      <c r="O36" s="8">
        <v>0.48199999999999998</v>
      </c>
      <c r="P36" s="9">
        <v>7.8E-2</v>
      </c>
      <c r="Q36" s="17"/>
      <c r="R36" s="10">
        <v>319</v>
      </c>
      <c r="S36" s="11">
        <v>130</v>
      </c>
      <c r="T36" s="12">
        <v>850</v>
      </c>
      <c r="U36" s="17"/>
      <c r="V36" s="7">
        <v>1068</v>
      </c>
      <c r="W36" s="13">
        <f t="shared" si="0"/>
        <v>14.469391690052136</v>
      </c>
      <c r="Z36" s="13" t="e">
        <f t="shared" si="9"/>
        <v>#DIV/0!</v>
      </c>
      <c r="AB36" s="72">
        <v>10</v>
      </c>
      <c r="AC36" s="72">
        <v>10</v>
      </c>
      <c r="AE36" s="5">
        <f t="shared" si="10"/>
        <v>163</v>
      </c>
      <c r="AF36" s="8">
        <f>(O36*AB36+O37*AB37+O38*AB38)/100</f>
        <v>0.3876</v>
      </c>
      <c r="AG36" s="56">
        <f>(P36*AC36+P37*AC37+P38*AC38)/100</f>
        <v>0.13039999999999999</v>
      </c>
      <c r="AH36" s="3">
        <f>225-5.625*($B36-0.5)</f>
        <v>120.9375</v>
      </c>
      <c r="AI36">
        <f>K36</f>
        <v>150</v>
      </c>
      <c r="AK36" s="2">
        <v>600</v>
      </c>
      <c r="AL36" s="7">
        <f t="shared" si="1"/>
        <v>0.19139999999999999</v>
      </c>
      <c r="AM36" s="8">
        <f t="shared" si="2"/>
        <v>0.29059999999999997</v>
      </c>
      <c r="AN36" s="56">
        <f t="shared" si="3"/>
        <v>7.8E-2</v>
      </c>
      <c r="AO36" s="9">
        <f t="shared" si="4"/>
        <v>0</v>
      </c>
      <c r="AQ36" s="90">
        <f>($AB36*AM36+$AB37*AM37+$AB38*AM38)/100</f>
        <v>0.20638000000000001</v>
      </c>
      <c r="AS36" s="95">
        <f>($AB36*AO36+$AB37*AO37+$AB38*AO38)/100</f>
        <v>7.5559999999999988E-2</v>
      </c>
      <c r="AU36" s="10">
        <f>($AB36*R36+$AB37*R37+$AB38*R38)/100</f>
        <v>294.5</v>
      </c>
      <c r="AV36" s="11">
        <f>($AB36*S36+$AB37*S37+$AB38*S38)/100</f>
        <v>89</v>
      </c>
      <c r="AW36" s="12">
        <f>($AB36*T36+$AB37*T37+$AB38*T38)/100</f>
        <v>1035</v>
      </c>
      <c r="AX36" s="147">
        <f>($AB36*AK36+$AB37*AK37+$AB38*AK38)/100</f>
        <v>620</v>
      </c>
      <c r="BO36">
        <f t="shared" si="11"/>
        <v>1.2547774999999999</v>
      </c>
      <c r="BP36">
        <f t="shared" si="12"/>
        <v>2.2189550000000002</v>
      </c>
      <c r="BQ36">
        <f t="shared" si="13"/>
        <v>1.5761700000000001</v>
      </c>
      <c r="BR36">
        <f t="shared" si="14"/>
        <v>0.93338499999999991</v>
      </c>
      <c r="BS36" s="8">
        <f>($AB36*BO36+$AB37*BO37+$AB38*BO38)/100</f>
        <v>1.09650625</v>
      </c>
      <c r="BT36" s="90">
        <f>($AB36*BP36+$AB37*BP37+$AB38*BP38)/100</f>
        <v>1.9866324999999998</v>
      </c>
      <c r="BU36" s="8">
        <f>($AB36*BQ36+$AB37*BQ37+$AB38*BQ38)/100</f>
        <v>1.3932149999999999</v>
      </c>
      <c r="BV36" s="90">
        <f>($AB36*BR36+$AB37*BR37+$AB38*BR38)/100</f>
        <v>0.79979749999999994</v>
      </c>
      <c r="BW36" s="4">
        <f t="shared" si="5"/>
        <v>163</v>
      </c>
    </row>
    <row r="37" spans="1:75" thickTop="1" thickBot="1" x14ac:dyDescent="0.3">
      <c r="A37" s="4">
        <v>163</v>
      </c>
      <c r="B37" s="93">
        <v>19</v>
      </c>
      <c r="C37" s="93">
        <v>3</v>
      </c>
      <c r="E37" s="1">
        <v>132</v>
      </c>
      <c r="F37" s="1">
        <v>6</v>
      </c>
      <c r="G37" s="3">
        <f t="shared" si="6"/>
        <v>126</v>
      </c>
      <c r="I37" s="2">
        <v>63</v>
      </c>
      <c r="J37" s="3">
        <f t="shared" si="15"/>
        <v>120.9375</v>
      </c>
      <c r="K37" s="6">
        <f t="shared" si="8"/>
        <v>150</v>
      </c>
      <c r="O37" s="8">
        <v>0.375</v>
      </c>
      <c r="P37" s="9">
        <v>0.14499999999999999</v>
      </c>
      <c r="R37" s="10">
        <v>300</v>
      </c>
      <c r="S37" s="11">
        <v>86</v>
      </c>
      <c r="T37" s="12">
        <v>1000</v>
      </c>
      <c r="V37" s="7">
        <v>894</v>
      </c>
      <c r="W37" s="13">
        <f t="shared" si="0"/>
        <v>14.532229090081877</v>
      </c>
      <c r="Z37" s="13" t="e">
        <f t="shared" si="9"/>
        <v>#DIV/0!</v>
      </c>
      <c r="AB37" s="72">
        <v>80</v>
      </c>
      <c r="AC37" s="72">
        <v>80</v>
      </c>
      <c r="AE37" s="5">
        <f t="shared" si="10"/>
        <v>163</v>
      </c>
      <c r="AG37" s="56"/>
      <c r="AK37" s="2">
        <v>600</v>
      </c>
      <c r="AL37" s="7">
        <f t="shared" si="1"/>
        <v>0.18</v>
      </c>
      <c r="AM37" s="8">
        <f t="shared" si="2"/>
        <v>0.19500000000000001</v>
      </c>
      <c r="AN37" s="56">
        <f t="shared" si="3"/>
        <v>5.16E-2</v>
      </c>
      <c r="AO37" s="9">
        <f t="shared" si="4"/>
        <v>9.3399999999999983E-2</v>
      </c>
      <c r="AX37" s="147"/>
      <c r="BO37">
        <f t="shared" si="11"/>
        <v>1.10175</v>
      </c>
      <c r="BP37">
        <f t="shared" si="12"/>
        <v>2.0084999999999997</v>
      </c>
      <c r="BQ37">
        <f t="shared" si="13"/>
        <v>1.4039999999999999</v>
      </c>
      <c r="BR37">
        <f t="shared" si="14"/>
        <v>0.79949999999999999</v>
      </c>
      <c r="BS37" s="8"/>
      <c r="BT37" s="90"/>
      <c r="BU37" s="8"/>
      <c r="BV37" s="90"/>
      <c r="BW37" s="4">
        <f t="shared" si="5"/>
        <v>163</v>
      </c>
    </row>
    <row r="38" spans="1:75" s="27" customFormat="1" thickTop="1" thickBot="1" x14ac:dyDescent="0.3">
      <c r="A38" s="21">
        <v>163</v>
      </c>
      <c r="B38" s="22">
        <v>19</v>
      </c>
      <c r="C38" s="22">
        <v>3</v>
      </c>
      <c r="D38" s="23"/>
      <c r="E38" s="24">
        <v>132</v>
      </c>
      <c r="F38" s="24">
        <v>6</v>
      </c>
      <c r="G38" s="25">
        <f t="shared" si="6"/>
        <v>126</v>
      </c>
      <c r="H38" s="23"/>
      <c r="I38" s="22">
        <v>116</v>
      </c>
      <c r="J38" s="3">
        <f t="shared" si="15"/>
        <v>118.57142857142857</v>
      </c>
      <c r="K38" s="48">
        <f t="shared" si="8"/>
        <v>150</v>
      </c>
      <c r="L38" s="23"/>
      <c r="N38" s="23"/>
      <c r="O38" s="28">
        <v>0.39400000000000002</v>
      </c>
      <c r="P38" s="29">
        <v>6.6000000000000003E-2</v>
      </c>
      <c r="Q38" s="23"/>
      <c r="R38" s="30">
        <v>226</v>
      </c>
      <c r="S38" s="31">
        <v>72</v>
      </c>
      <c r="T38" s="32">
        <v>1500</v>
      </c>
      <c r="U38" s="23"/>
      <c r="V38" s="33">
        <v>843</v>
      </c>
      <c r="W38" s="75">
        <f t="shared" si="0"/>
        <v>14.555493677784797</v>
      </c>
      <c r="X38" s="5"/>
      <c r="Y38" s="56"/>
      <c r="Z38" s="13" t="e">
        <f t="shared" si="9"/>
        <v>#DIV/0!</v>
      </c>
      <c r="AB38" s="27">
        <v>10</v>
      </c>
      <c r="AC38" s="27">
        <v>10</v>
      </c>
      <c r="AE38" s="5">
        <f t="shared" si="10"/>
        <v>163</v>
      </c>
      <c r="AF38" s="28"/>
      <c r="AG38" s="55"/>
      <c r="AH38" s="3"/>
      <c r="AJ38" s="5"/>
      <c r="AK38" s="2">
        <v>800</v>
      </c>
      <c r="AL38" s="7">
        <f t="shared" si="1"/>
        <v>0.18079999999999999</v>
      </c>
      <c r="AM38" s="8">
        <f t="shared" si="2"/>
        <v>0.21320000000000003</v>
      </c>
      <c r="AN38" s="56">
        <f t="shared" si="3"/>
        <v>5.7599999999999998E-2</v>
      </c>
      <c r="AO38" s="9">
        <f t="shared" si="4"/>
        <v>8.4000000000000047E-3</v>
      </c>
      <c r="AP38" s="5"/>
      <c r="AQ38" s="91"/>
      <c r="AR38" s="5"/>
      <c r="AS38" s="96"/>
      <c r="AT38" s="5"/>
      <c r="AU38" s="30"/>
      <c r="AV38" s="31"/>
      <c r="AW38" s="32"/>
      <c r="AX38" s="147"/>
      <c r="BN38" s="5"/>
      <c r="BO38">
        <f t="shared" si="11"/>
        <v>0.896285</v>
      </c>
      <c r="BP38">
        <f t="shared" si="12"/>
        <v>1.5793699999999999</v>
      </c>
      <c r="BQ38">
        <f t="shared" si="13"/>
        <v>1.12398</v>
      </c>
      <c r="BR38">
        <f t="shared" si="14"/>
        <v>0.66859000000000002</v>
      </c>
      <c r="BS38" s="28"/>
      <c r="BT38" s="91"/>
      <c r="BU38" s="28"/>
      <c r="BV38" s="91"/>
      <c r="BW38" s="4">
        <f t="shared" si="5"/>
        <v>163</v>
      </c>
    </row>
    <row r="39" spans="1:75" thickTop="1" thickBot="1" x14ac:dyDescent="0.3">
      <c r="A39" s="15">
        <v>165</v>
      </c>
      <c r="B39" s="16">
        <v>19</v>
      </c>
      <c r="C39" s="16">
        <v>5</v>
      </c>
      <c r="D39" s="17"/>
      <c r="E39" s="1">
        <v>134</v>
      </c>
      <c r="F39" s="1">
        <v>9</v>
      </c>
      <c r="G39" s="18">
        <f t="shared" si="6"/>
        <v>125</v>
      </c>
      <c r="H39" s="17"/>
      <c r="I39" s="19">
        <v>10</v>
      </c>
      <c r="J39" s="3">
        <f t="shared" si="15"/>
        <v>123.30000000000001</v>
      </c>
      <c r="K39" s="20">
        <f t="shared" si="8"/>
        <v>174</v>
      </c>
      <c r="L39" s="17"/>
      <c r="N39" s="17"/>
      <c r="O39" s="8">
        <v>0.23799999999999999</v>
      </c>
      <c r="P39" s="9">
        <v>0.04</v>
      </c>
      <c r="Q39" s="17"/>
      <c r="R39" s="10">
        <v>151</v>
      </c>
      <c r="S39" s="11">
        <v>118</v>
      </c>
      <c r="T39" s="12">
        <v>1200</v>
      </c>
      <c r="U39" s="17"/>
      <c r="V39" s="7">
        <v>398</v>
      </c>
      <c r="W39" s="13">
        <f t="shared" si="0"/>
        <v>15.004187020318813</v>
      </c>
      <c r="Z39" s="13" t="e">
        <f t="shared" si="9"/>
        <v>#DIV/0!</v>
      </c>
      <c r="AB39">
        <f t="shared" ref="AB39:AC44" si="16">100/6</f>
        <v>16.666666666666668</v>
      </c>
      <c r="AC39">
        <f t="shared" si="16"/>
        <v>16.666666666666668</v>
      </c>
      <c r="AE39" s="5">
        <f t="shared" si="10"/>
        <v>165</v>
      </c>
      <c r="AF39" s="8">
        <f>(O39*AB39+O40*AB40+O41*AB41+O42*AB42+O43*AB43+O44*AB44)/100</f>
        <v>0.3688333333333334</v>
      </c>
      <c r="AG39" s="56">
        <f>(P39*AC39+P40*AC40+P41*AC41+P42*AC42+P43*AC43+P44*AC44)/100</f>
        <v>8.2666666666666694E-2</v>
      </c>
      <c r="AH39" s="3">
        <f>225-5.625*($B39-0.5)</f>
        <v>120.9375</v>
      </c>
      <c r="AI39">
        <f>K39</f>
        <v>174</v>
      </c>
      <c r="AK39" s="2">
        <v>600</v>
      </c>
      <c r="AL39" s="7">
        <f t="shared" si="1"/>
        <v>9.06E-2</v>
      </c>
      <c r="AM39" s="8">
        <f t="shared" si="2"/>
        <v>0.14739999999999998</v>
      </c>
      <c r="AN39" s="56">
        <f t="shared" si="3"/>
        <v>7.0800000000000002E-2</v>
      </c>
      <c r="AO39" s="9">
        <f t="shared" si="4"/>
        <v>-3.0800000000000001E-2</v>
      </c>
      <c r="AQ39" s="90">
        <f>($AB39*AM39+$AB40*AM40+$AB41*AM41+$AB42*AM42+$AB43*AM43+$AB44*AM44)/100</f>
        <v>0.17953333333333338</v>
      </c>
      <c r="AS39" s="95">
        <f>($AB39*AO39+$AB40*AO40+$AB41*AO41+$AB42*AO42+$AB43*AO43+$AB44*AO44)/100</f>
        <v>2.908333333333334E-2</v>
      </c>
      <c r="AU39" s="10">
        <f>($AB39*R39+$AB40*R40+$AB41*R41+$AB42*R42+$AB43*R43+$AB44*R44)/100</f>
        <v>258.16666666666669</v>
      </c>
      <c r="AV39" s="11">
        <f>($AB39*S39+$AB40*S40+$AB41*S41+$AB42*S42+$AB43*S43+$AB44*S44)/100</f>
        <v>75.833333333333343</v>
      </c>
      <c r="AW39" s="12">
        <f>($AB39*T39+$AB40*T40+$AB41*T41+$AB42*T42+$AB43*T43+$AB44*T44)/100</f>
        <v>1763.3333333333335</v>
      </c>
      <c r="AX39" s="147">
        <f>($AB39*AK39+$AB40*AK40+$AB41*AK41+$AB42*AK42+$AB43*AK43+$AB44*AK44)/100</f>
        <v>716.66666666666674</v>
      </c>
      <c r="BO39">
        <f t="shared" si="11"/>
        <v>0.60379749999999999</v>
      </c>
      <c r="BP39">
        <f t="shared" si="12"/>
        <v>1.060195</v>
      </c>
      <c r="BQ39">
        <f t="shared" si="13"/>
        <v>0.75592999999999999</v>
      </c>
      <c r="BR39">
        <f t="shared" si="14"/>
        <v>0.45166499999999998</v>
      </c>
      <c r="BS39" s="8">
        <f>($AB39*BO39+$AB40*BO40+$AB41*BO41+$AB42*BO42+$AB43*BO43+$AB44*BO44)/100</f>
        <v>0.95984208333333354</v>
      </c>
      <c r="BT39" s="90">
        <f>($AB39*BP39+$AB40*BP40+$AB41*BP41+$AB42*BP42+$AB43*BP43+$AB44*BP44)/100</f>
        <v>1.7401508333333338</v>
      </c>
      <c r="BU39" s="8">
        <f>($AB39*BQ39+$AB40*BQ40+$AB41*BQ41+$AB42*BQ42+$AB43*BQ43+$AB44*BQ44)/100</f>
        <v>1.2199450000000001</v>
      </c>
      <c r="BV39" s="90">
        <f>($AB39*BR39+$AB40*BR40+$AB41*BR41+$AB42*BR42+$AB43*BR43+$AB44*BR44)/100</f>
        <v>0.69973916666666669</v>
      </c>
      <c r="BW39" s="4">
        <f t="shared" si="5"/>
        <v>165</v>
      </c>
    </row>
    <row r="40" spans="1:75" thickTop="1" thickBot="1" x14ac:dyDescent="0.3">
      <c r="A40" s="4">
        <v>165</v>
      </c>
      <c r="B40" s="93">
        <v>19</v>
      </c>
      <c r="C40" s="93">
        <v>5</v>
      </c>
      <c r="E40" s="1">
        <v>134</v>
      </c>
      <c r="F40" s="1">
        <v>9</v>
      </c>
      <c r="G40" s="3">
        <f t="shared" si="6"/>
        <v>125</v>
      </c>
      <c r="I40" s="2">
        <v>30</v>
      </c>
      <c r="J40" s="3">
        <f t="shared" si="15"/>
        <v>122.4</v>
      </c>
      <c r="K40" s="6">
        <f t="shared" si="8"/>
        <v>174</v>
      </c>
      <c r="O40" s="8">
        <v>0.54900000000000004</v>
      </c>
      <c r="P40" s="9">
        <v>0.1</v>
      </c>
      <c r="R40" s="10">
        <v>370</v>
      </c>
      <c r="S40" s="11">
        <v>85</v>
      </c>
      <c r="T40" s="12">
        <v>3600</v>
      </c>
      <c r="V40" s="7">
        <v>881</v>
      </c>
      <c r="W40" s="13">
        <f t="shared" si="0"/>
        <v>14.537906926306722</v>
      </c>
      <c r="Z40" s="13" t="e">
        <f t="shared" si="9"/>
        <v>#DIV/0!</v>
      </c>
      <c r="AB40">
        <f t="shared" si="16"/>
        <v>16.666666666666668</v>
      </c>
      <c r="AC40">
        <f t="shared" si="16"/>
        <v>16.666666666666668</v>
      </c>
      <c r="AE40" s="5">
        <f t="shared" si="10"/>
        <v>165</v>
      </c>
      <c r="AG40" s="56"/>
      <c r="AK40" s="2">
        <v>900</v>
      </c>
      <c r="AL40" s="7">
        <f t="shared" si="1"/>
        <v>0.33299999999999996</v>
      </c>
      <c r="AM40" s="8">
        <f t="shared" si="2"/>
        <v>0.21600000000000008</v>
      </c>
      <c r="AN40" s="56">
        <f t="shared" si="3"/>
        <v>7.6499999999999999E-2</v>
      </c>
      <c r="AO40" s="9">
        <f t="shared" si="4"/>
        <v>2.3500000000000007E-2</v>
      </c>
      <c r="AX40" s="147"/>
      <c r="BO40">
        <f t="shared" si="11"/>
        <v>1.3343250000000002</v>
      </c>
      <c r="BP40">
        <f t="shared" si="12"/>
        <v>2.4526500000000002</v>
      </c>
      <c r="BQ40">
        <f t="shared" si="13"/>
        <v>1.7071000000000001</v>
      </c>
      <c r="BR40">
        <f t="shared" si="14"/>
        <v>0.96155000000000002</v>
      </c>
      <c r="BS40" s="8"/>
      <c r="BT40" s="90"/>
      <c r="BU40" s="8"/>
      <c r="BV40" s="90"/>
      <c r="BW40" s="4">
        <f t="shared" si="5"/>
        <v>165</v>
      </c>
    </row>
    <row r="41" spans="1:75" thickTop="1" thickBot="1" x14ac:dyDescent="0.3">
      <c r="A41" s="4">
        <v>165</v>
      </c>
      <c r="B41" s="93">
        <v>19</v>
      </c>
      <c r="C41" s="93">
        <v>5</v>
      </c>
      <c r="E41" s="1">
        <v>134</v>
      </c>
      <c r="F41" s="1">
        <v>9</v>
      </c>
      <c r="G41" s="3">
        <f t="shared" si="6"/>
        <v>125</v>
      </c>
      <c r="I41" s="2">
        <v>50</v>
      </c>
      <c r="J41" s="3">
        <f t="shared" si="15"/>
        <v>121.50000000000001</v>
      </c>
      <c r="K41" s="6">
        <f t="shared" si="8"/>
        <v>174</v>
      </c>
      <c r="O41" s="8">
        <v>0.496</v>
      </c>
      <c r="P41" s="9">
        <v>9.4E-2</v>
      </c>
      <c r="R41" s="10">
        <v>267</v>
      </c>
      <c r="S41" s="11">
        <v>60</v>
      </c>
      <c r="T41" s="12">
        <v>1300</v>
      </c>
      <c r="V41" s="7">
        <v>761</v>
      </c>
      <c r="W41" s="13">
        <f t="shared" si="0"/>
        <v>14.599335754335044</v>
      </c>
      <c r="Z41" s="13" t="e">
        <f t="shared" si="9"/>
        <v>#DIV/0!</v>
      </c>
      <c r="AB41">
        <f t="shared" si="16"/>
        <v>16.666666666666668</v>
      </c>
      <c r="AC41">
        <f t="shared" si="16"/>
        <v>16.666666666666668</v>
      </c>
      <c r="AE41" s="5">
        <f t="shared" si="10"/>
        <v>165</v>
      </c>
      <c r="AG41" s="56"/>
      <c r="AK41" s="2">
        <v>800</v>
      </c>
      <c r="AL41" s="7">
        <f t="shared" si="1"/>
        <v>0.21359999999999998</v>
      </c>
      <c r="AM41" s="8">
        <f t="shared" si="2"/>
        <v>0.28239999999999998</v>
      </c>
      <c r="AN41" s="56">
        <f t="shared" si="3"/>
        <v>4.8000000000000001E-2</v>
      </c>
      <c r="AO41" s="9">
        <f t="shared" si="4"/>
        <v>4.5999999999999999E-2</v>
      </c>
      <c r="AX41" s="147"/>
      <c r="BO41">
        <f t="shared" si="11"/>
        <v>1.0894075000000001</v>
      </c>
      <c r="BP41">
        <f t="shared" si="12"/>
        <v>1.896415</v>
      </c>
      <c r="BQ41">
        <f t="shared" si="13"/>
        <v>1.3584100000000001</v>
      </c>
      <c r="BR41">
        <f t="shared" si="14"/>
        <v>0.82040500000000005</v>
      </c>
      <c r="BS41" s="8"/>
      <c r="BT41" s="90"/>
      <c r="BU41" s="8"/>
      <c r="BV41" s="90"/>
      <c r="BW41" s="4">
        <f t="shared" si="5"/>
        <v>165</v>
      </c>
    </row>
    <row r="42" spans="1:75" thickTop="1" thickBot="1" x14ac:dyDescent="0.3">
      <c r="A42" s="4">
        <v>165</v>
      </c>
      <c r="B42" s="93">
        <v>19</v>
      </c>
      <c r="C42" s="93">
        <v>5</v>
      </c>
      <c r="E42" s="1">
        <v>134</v>
      </c>
      <c r="F42" s="1">
        <v>9</v>
      </c>
      <c r="G42" s="3">
        <f t="shared" si="6"/>
        <v>125</v>
      </c>
      <c r="I42" s="2">
        <v>70</v>
      </c>
      <c r="J42" s="3">
        <f t="shared" si="15"/>
        <v>120.60000000000001</v>
      </c>
      <c r="K42" s="6">
        <f t="shared" si="8"/>
        <v>174</v>
      </c>
      <c r="O42" s="8">
        <v>0.34200000000000003</v>
      </c>
      <c r="P42" s="9">
        <v>9.5000000000000001E-2</v>
      </c>
      <c r="R42" s="10">
        <v>320</v>
      </c>
      <c r="S42" s="11">
        <v>57</v>
      </c>
      <c r="T42" s="12">
        <v>1560</v>
      </c>
      <c r="V42" s="7">
        <v>444</v>
      </c>
      <c r="W42" s="13">
        <f t="shared" si="0"/>
        <v>14.917188827742397</v>
      </c>
      <c r="Z42" s="13" t="e">
        <f t="shared" si="9"/>
        <v>#DIV/0!</v>
      </c>
      <c r="AB42">
        <f t="shared" si="16"/>
        <v>16.666666666666668</v>
      </c>
      <c r="AC42">
        <f t="shared" si="16"/>
        <v>16.666666666666668</v>
      </c>
      <c r="AE42" s="5">
        <f t="shared" si="10"/>
        <v>165</v>
      </c>
      <c r="AG42" s="56"/>
      <c r="AK42" s="2">
        <v>600</v>
      </c>
      <c r="AL42" s="7">
        <f t="shared" si="1"/>
        <v>0.192</v>
      </c>
      <c r="AM42" s="8">
        <f t="shared" si="2"/>
        <v>0.15000000000000002</v>
      </c>
      <c r="AN42" s="56">
        <f t="shared" si="3"/>
        <v>3.4200000000000001E-2</v>
      </c>
      <c r="AO42" s="9">
        <f t="shared" si="4"/>
        <v>6.08E-2</v>
      </c>
      <c r="AX42" s="147"/>
      <c r="BO42">
        <f t="shared" si="11"/>
        <v>1.1172</v>
      </c>
      <c r="BP42">
        <f t="shared" si="12"/>
        <v>2.0844</v>
      </c>
      <c r="BQ42">
        <f t="shared" si="13"/>
        <v>1.4396</v>
      </c>
      <c r="BR42">
        <f t="shared" si="14"/>
        <v>0.79479999999999995</v>
      </c>
      <c r="BS42" s="8"/>
      <c r="BT42" s="90"/>
      <c r="BU42" s="8"/>
      <c r="BV42" s="90"/>
      <c r="BW42" s="4">
        <f t="shared" si="5"/>
        <v>165</v>
      </c>
    </row>
    <row r="43" spans="1:75" thickTop="1" thickBot="1" x14ac:dyDescent="0.3">
      <c r="A43" s="4">
        <v>165</v>
      </c>
      <c r="B43" s="93">
        <v>19</v>
      </c>
      <c r="C43" s="93">
        <v>5</v>
      </c>
      <c r="E43" s="1">
        <v>134</v>
      </c>
      <c r="F43" s="1">
        <v>9</v>
      </c>
      <c r="G43" s="3">
        <f t="shared" si="6"/>
        <v>125</v>
      </c>
      <c r="I43" s="2">
        <v>90</v>
      </c>
      <c r="J43" s="3">
        <f t="shared" si="15"/>
        <v>119.7</v>
      </c>
      <c r="K43" s="6">
        <f t="shared" si="8"/>
        <v>174</v>
      </c>
      <c r="O43" s="8">
        <v>0.33</v>
      </c>
      <c r="P43" s="9">
        <v>6.7000000000000004E-2</v>
      </c>
      <c r="R43" s="10">
        <v>231</v>
      </c>
      <c r="S43" s="11">
        <v>80</v>
      </c>
      <c r="T43" s="12">
        <v>1520</v>
      </c>
      <c r="V43" s="7">
        <v>512</v>
      </c>
      <c r="W43" s="13">
        <f t="shared" si="0"/>
        <v>14.816586988912123</v>
      </c>
      <c r="Z43" s="13" t="e">
        <f t="shared" si="9"/>
        <v>#DIV/0!</v>
      </c>
      <c r="AB43">
        <f t="shared" si="16"/>
        <v>16.666666666666668</v>
      </c>
      <c r="AC43">
        <f t="shared" si="16"/>
        <v>16.666666666666668</v>
      </c>
      <c r="AE43" s="5">
        <f t="shared" si="10"/>
        <v>165</v>
      </c>
      <c r="AG43" s="56"/>
      <c r="AK43" s="2">
        <v>600</v>
      </c>
      <c r="AL43" s="7">
        <f t="shared" si="1"/>
        <v>0.1386</v>
      </c>
      <c r="AM43" s="8">
        <f t="shared" si="2"/>
        <v>0.19140000000000001</v>
      </c>
      <c r="AN43" s="56">
        <f t="shared" si="3"/>
        <v>4.8000000000000001E-2</v>
      </c>
      <c r="AO43" s="9">
        <f t="shared" si="4"/>
        <v>1.9000000000000003E-2</v>
      </c>
      <c r="AX43" s="147"/>
      <c r="BO43">
        <f t="shared" si="11"/>
        <v>0.88959750000000004</v>
      </c>
      <c r="BP43">
        <f t="shared" si="12"/>
        <v>1.5877950000000001</v>
      </c>
      <c r="BQ43">
        <f t="shared" si="13"/>
        <v>1.12233</v>
      </c>
      <c r="BR43">
        <f t="shared" si="14"/>
        <v>0.65686500000000003</v>
      </c>
      <c r="BS43" s="8"/>
      <c r="BT43" s="90"/>
      <c r="BU43" s="8"/>
      <c r="BV43" s="90"/>
      <c r="BW43" s="4">
        <f t="shared" si="5"/>
        <v>165</v>
      </c>
    </row>
    <row r="44" spans="1:75" s="27" customFormat="1" thickTop="1" thickBot="1" x14ac:dyDescent="0.3">
      <c r="A44" s="21">
        <v>165</v>
      </c>
      <c r="B44" s="22">
        <v>19</v>
      </c>
      <c r="C44" s="22">
        <v>5</v>
      </c>
      <c r="D44" s="23"/>
      <c r="E44" s="24">
        <v>134</v>
      </c>
      <c r="F44" s="24">
        <v>9</v>
      </c>
      <c r="G44" s="25">
        <f t="shared" si="6"/>
        <v>125</v>
      </c>
      <c r="H44" s="23"/>
      <c r="I44" s="22">
        <v>110</v>
      </c>
      <c r="J44" s="3">
        <f t="shared" si="15"/>
        <v>118.80000000000001</v>
      </c>
      <c r="K44" s="26">
        <f t="shared" si="8"/>
        <v>174</v>
      </c>
      <c r="L44" s="23"/>
      <c r="N44" s="23"/>
      <c r="O44" s="28">
        <v>0.25800000000000001</v>
      </c>
      <c r="P44" s="29">
        <v>0.1</v>
      </c>
      <c r="Q44" s="23"/>
      <c r="R44" s="30">
        <v>210</v>
      </c>
      <c r="S44" s="31">
        <v>55</v>
      </c>
      <c r="T44" s="32">
        <v>1400</v>
      </c>
      <c r="U44" s="23"/>
      <c r="V44" s="33">
        <v>359</v>
      </c>
      <c r="W44" s="75">
        <f t="shared" si="0"/>
        <v>15.094871751801758</v>
      </c>
      <c r="X44" s="5"/>
      <c r="Y44" s="56"/>
      <c r="Z44" s="13" t="e">
        <f t="shared" si="9"/>
        <v>#DIV/0!</v>
      </c>
      <c r="AB44" s="27">
        <f t="shared" si="16"/>
        <v>16.666666666666668</v>
      </c>
      <c r="AC44" s="27">
        <f t="shared" si="16"/>
        <v>16.666666666666668</v>
      </c>
      <c r="AE44" s="5">
        <f t="shared" si="10"/>
        <v>165</v>
      </c>
      <c r="AF44" s="28"/>
      <c r="AG44" s="55"/>
      <c r="AH44" s="3"/>
      <c r="AJ44" s="5"/>
      <c r="AK44" s="2">
        <v>800</v>
      </c>
      <c r="AL44" s="7">
        <f t="shared" si="1"/>
        <v>0.16799999999999998</v>
      </c>
      <c r="AM44" s="8">
        <f t="shared" si="2"/>
        <v>9.0000000000000024E-2</v>
      </c>
      <c r="AN44" s="56">
        <f t="shared" si="3"/>
        <v>4.3999999999999997E-2</v>
      </c>
      <c r="AO44" s="9">
        <f t="shared" si="4"/>
        <v>5.6000000000000008E-2</v>
      </c>
      <c r="AP44" s="5"/>
      <c r="AQ44" s="91"/>
      <c r="AR44" s="5"/>
      <c r="AS44" s="96"/>
      <c r="AT44" s="5"/>
      <c r="AU44" s="30"/>
      <c r="AV44" s="31"/>
      <c r="AW44" s="32"/>
      <c r="AX44" s="147"/>
      <c r="BN44" s="5"/>
      <c r="BO44">
        <f t="shared" si="11"/>
        <v>0.72472500000000006</v>
      </c>
      <c r="BP44">
        <f t="shared" si="12"/>
        <v>1.35945</v>
      </c>
      <c r="BQ44">
        <f t="shared" si="13"/>
        <v>0.93630000000000002</v>
      </c>
      <c r="BR44">
        <f t="shared" si="14"/>
        <v>0.51315</v>
      </c>
      <c r="BS44" s="28"/>
      <c r="BT44" s="91"/>
      <c r="BU44" s="28"/>
      <c r="BV44" s="91"/>
      <c r="BW44" s="4">
        <f t="shared" si="5"/>
        <v>165</v>
      </c>
    </row>
    <row r="45" spans="1:75" thickTop="1" thickBot="1" x14ac:dyDescent="0.3">
      <c r="A45" s="15">
        <v>167</v>
      </c>
      <c r="B45" s="16">
        <v>19</v>
      </c>
      <c r="C45" s="16">
        <v>7</v>
      </c>
      <c r="D45" s="17"/>
      <c r="E45" s="1">
        <v>133</v>
      </c>
      <c r="F45" s="1">
        <v>10</v>
      </c>
      <c r="G45" s="18">
        <f t="shared" si="6"/>
        <v>123</v>
      </c>
      <c r="H45" s="17"/>
      <c r="I45" s="16">
        <v>10</v>
      </c>
      <c r="J45" s="3">
        <f t="shared" ref="J45:J56" si="17">225-5.625*(B45-0.5-(I45-0.5*G45)/G45)</f>
        <v>118.58231707317074</v>
      </c>
      <c r="K45" s="20">
        <f t="shared" si="8"/>
        <v>198</v>
      </c>
      <c r="L45" s="17"/>
      <c r="N45" s="17"/>
      <c r="O45" s="8">
        <v>0.13800000000000001</v>
      </c>
      <c r="P45" s="9">
        <v>2.9000000000000001E-2</v>
      </c>
      <c r="Q45" s="17"/>
      <c r="R45" s="10">
        <v>45</v>
      </c>
      <c r="S45" s="11">
        <v>17</v>
      </c>
      <c r="T45" s="12">
        <v>500</v>
      </c>
      <c r="U45" s="17"/>
      <c r="V45" s="7">
        <v>268</v>
      </c>
      <c r="W45" s="13">
        <f t="shared" si="0"/>
        <v>15.404980780118519</v>
      </c>
      <c r="Z45" s="13" t="e">
        <f t="shared" si="9"/>
        <v>#DIV/0!</v>
      </c>
      <c r="AB45">
        <v>10</v>
      </c>
      <c r="AC45">
        <v>10</v>
      </c>
      <c r="AE45" s="5">
        <f t="shared" si="10"/>
        <v>167</v>
      </c>
      <c r="AF45" s="8">
        <f>(O45*AB45+O46*AB46+O47*AB47)/100</f>
        <v>0.12560000000000002</v>
      </c>
      <c r="AG45" s="56">
        <f>(P45*AC45+P46*AC46+P47*AC47)/100</f>
        <v>2.75E-2</v>
      </c>
      <c r="AH45" s="3">
        <f>225-5.625*($B45-0.5)</f>
        <v>120.9375</v>
      </c>
      <c r="AI45">
        <f>K45</f>
        <v>198</v>
      </c>
      <c r="AK45" s="2">
        <v>600</v>
      </c>
      <c r="AL45" s="7">
        <f t="shared" si="1"/>
        <v>2.7E-2</v>
      </c>
      <c r="AM45" s="8">
        <f t="shared" si="2"/>
        <v>0.11100000000000002</v>
      </c>
      <c r="AN45" s="56">
        <f t="shared" si="3"/>
        <v>1.0199999999999999E-2</v>
      </c>
      <c r="AO45" s="9">
        <f t="shared" si="4"/>
        <v>1.8800000000000004E-2</v>
      </c>
      <c r="AQ45" s="90">
        <f>($AB45*AM45+$AB46*AM46+$AB47*AM47)/100</f>
        <v>9.3529999999999974E-2</v>
      </c>
      <c r="AS45" s="95">
        <f>($AB45*AO45+$AB46*AO46+$AB47*AO47)/100</f>
        <v>1.805E-2</v>
      </c>
      <c r="AU45" s="10">
        <f>($AB45*R45+$AB46*R46+$AB47*R47)/100</f>
        <v>53.45</v>
      </c>
      <c r="AV45" s="11">
        <f>($AB45*S45+$AB46*S46+$AB47*S47)/100</f>
        <v>15.75</v>
      </c>
      <c r="AW45" s="12">
        <f>($AB45*T45+$AB46*T46+$AB47*T47)/100</f>
        <v>752.5</v>
      </c>
      <c r="AX45" s="147">
        <f>($AB45*AK45+$AB46*AK46+$AB47*AK47)/100</f>
        <v>600</v>
      </c>
      <c r="BO45">
        <f t="shared" si="11"/>
        <v>0.24701250000000002</v>
      </c>
      <c r="BP45">
        <f t="shared" si="12"/>
        <v>0.383025</v>
      </c>
      <c r="BQ45">
        <f t="shared" si="13"/>
        <v>0.29235</v>
      </c>
      <c r="BR45">
        <f t="shared" si="14"/>
        <v>0.20167499999999999</v>
      </c>
      <c r="BS45" s="8">
        <f>($AB45*BO45+$AB46*BO46+$AB47*BO47)/100</f>
        <v>0.25508262500000001</v>
      </c>
      <c r="BT45" s="90">
        <f>($AB45*BP45+$AB46*BP46+$AB47*BP47)/100</f>
        <v>0.41663525000000001</v>
      </c>
      <c r="BU45" s="8">
        <f>($AB45*BQ45+$AB46*BQ46+$AB47*BQ47)/100</f>
        <v>0.30893350000000003</v>
      </c>
      <c r="BV45" s="90">
        <f>($AB45*BR45+$AB46*BR46+$AB47*BR47)/100</f>
        <v>0.20123175000000004</v>
      </c>
      <c r="BW45" s="4">
        <f t="shared" si="5"/>
        <v>167</v>
      </c>
    </row>
    <row r="46" spans="1:75" thickTop="1" thickBot="1" x14ac:dyDescent="0.3">
      <c r="A46" s="4">
        <v>167</v>
      </c>
      <c r="B46" s="93">
        <v>19</v>
      </c>
      <c r="C46" s="93">
        <v>7</v>
      </c>
      <c r="E46" s="1">
        <v>133</v>
      </c>
      <c r="F46" s="1">
        <v>10</v>
      </c>
      <c r="G46" s="3">
        <f t="shared" si="6"/>
        <v>123</v>
      </c>
      <c r="I46" s="2">
        <v>60</v>
      </c>
      <c r="J46" s="3">
        <f t="shared" si="17"/>
        <v>120.8689024390244</v>
      </c>
      <c r="K46" s="6">
        <f t="shared" si="8"/>
        <v>198</v>
      </c>
      <c r="O46" s="8">
        <v>0.128</v>
      </c>
      <c r="P46" s="9">
        <v>2.8000000000000001E-2</v>
      </c>
      <c r="R46" s="10">
        <v>55</v>
      </c>
      <c r="S46" s="11">
        <v>16</v>
      </c>
      <c r="T46" s="12">
        <v>800</v>
      </c>
      <c r="V46" s="7">
        <v>262</v>
      </c>
      <c r="W46" s="13">
        <f t="shared" si="0"/>
        <v>15.432690592741686</v>
      </c>
      <c r="Z46" s="13" t="e">
        <f t="shared" si="9"/>
        <v>#DIV/0!</v>
      </c>
      <c r="AB46">
        <v>85</v>
      </c>
      <c r="AC46">
        <v>85</v>
      </c>
      <c r="AE46" s="5">
        <f t="shared" si="10"/>
        <v>167</v>
      </c>
      <c r="AG46" s="56"/>
      <c r="AK46" s="2">
        <v>600</v>
      </c>
      <c r="AL46" s="7">
        <f t="shared" si="1"/>
        <v>3.3000000000000002E-2</v>
      </c>
      <c r="AM46" s="8">
        <f t="shared" si="2"/>
        <v>9.5000000000000001E-2</v>
      </c>
      <c r="AN46" s="56">
        <f t="shared" si="3"/>
        <v>9.5999999999999992E-3</v>
      </c>
      <c r="AO46" s="9">
        <f t="shared" si="4"/>
        <v>1.84E-2</v>
      </c>
      <c r="AX46" s="147"/>
      <c r="BO46">
        <f t="shared" si="11"/>
        <v>0.26123750000000001</v>
      </c>
      <c r="BP46">
        <f t="shared" si="12"/>
        <v>0.42747499999999999</v>
      </c>
      <c r="BQ46">
        <f t="shared" si="13"/>
        <v>0.31664999999999999</v>
      </c>
      <c r="BR46">
        <f t="shared" si="14"/>
        <v>0.20582500000000001</v>
      </c>
      <c r="BS46" s="8"/>
      <c r="BT46" s="90"/>
      <c r="BU46" s="8"/>
      <c r="BV46" s="90"/>
      <c r="BW46" s="4">
        <f t="shared" si="5"/>
        <v>167</v>
      </c>
    </row>
    <row r="47" spans="1:75" s="27" customFormat="1" thickTop="1" thickBot="1" x14ac:dyDescent="0.3">
      <c r="A47" s="21">
        <v>167</v>
      </c>
      <c r="B47" s="22">
        <v>19</v>
      </c>
      <c r="C47" s="22">
        <v>7</v>
      </c>
      <c r="D47" s="23"/>
      <c r="E47" s="24">
        <v>133</v>
      </c>
      <c r="F47" s="24">
        <v>10</v>
      </c>
      <c r="G47" s="25">
        <f t="shared" si="6"/>
        <v>123</v>
      </c>
      <c r="H47" s="23"/>
      <c r="I47" s="86">
        <v>113</v>
      </c>
      <c r="J47" s="3">
        <f t="shared" si="17"/>
        <v>123.29268292682926</v>
      </c>
      <c r="K47" s="26">
        <f t="shared" si="8"/>
        <v>198</v>
      </c>
      <c r="L47" s="23"/>
      <c r="N47" s="23"/>
      <c r="O47" s="28">
        <v>0.06</v>
      </c>
      <c r="P47" s="29">
        <v>1.6E-2</v>
      </c>
      <c r="Q47" s="23"/>
      <c r="R47" s="30">
        <v>44</v>
      </c>
      <c r="S47" s="31">
        <v>9</v>
      </c>
      <c r="T47" s="32">
        <v>450</v>
      </c>
      <c r="U47" s="23"/>
      <c r="V47" s="33">
        <v>137</v>
      </c>
      <c r="W47" s="75">
        <f t="shared" si="0"/>
        <v>16.522490754420989</v>
      </c>
      <c r="X47" s="5"/>
      <c r="Y47" s="56"/>
      <c r="Z47" s="13" t="e">
        <f t="shared" si="9"/>
        <v>#DIV/0!</v>
      </c>
      <c r="AB47" s="27">
        <v>5</v>
      </c>
      <c r="AC47" s="27">
        <v>5</v>
      </c>
      <c r="AE47" s="5">
        <f t="shared" si="10"/>
        <v>167</v>
      </c>
      <c r="AF47" s="28"/>
      <c r="AG47" s="55"/>
      <c r="AH47" s="3"/>
      <c r="AJ47" s="5"/>
      <c r="AK47" s="2">
        <v>600</v>
      </c>
      <c r="AL47" s="7">
        <f t="shared" si="1"/>
        <v>2.64E-2</v>
      </c>
      <c r="AM47" s="8">
        <f t="shared" si="2"/>
        <v>3.3599999999999998E-2</v>
      </c>
      <c r="AN47" s="56">
        <f t="shared" si="3"/>
        <v>5.3999999999999994E-3</v>
      </c>
      <c r="AO47" s="9">
        <f t="shared" si="4"/>
        <v>1.0600000000000002E-2</v>
      </c>
      <c r="AP47" s="5"/>
      <c r="AQ47" s="91"/>
      <c r="AR47" s="5"/>
      <c r="AS47" s="96"/>
      <c r="AT47" s="5"/>
      <c r="AU47" s="30"/>
      <c r="AV47" s="31"/>
      <c r="AW47" s="32"/>
      <c r="AX47" s="147"/>
      <c r="BN47" s="5"/>
      <c r="BO47">
        <f t="shared" si="11"/>
        <v>0.16659000000000002</v>
      </c>
      <c r="BP47">
        <f t="shared" si="12"/>
        <v>0.29957999999999996</v>
      </c>
      <c r="BQ47">
        <f t="shared" si="13"/>
        <v>0.21092</v>
      </c>
      <c r="BR47">
        <f t="shared" si="14"/>
        <v>0.12226000000000001</v>
      </c>
      <c r="BS47" s="28"/>
      <c r="BT47" s="91"/>
      <c r="BU47" s="28"/>
      <c r="BV47" s="91"/>
      <c r="BW47" s="4">
        <f t="shared" si="5"/>
        <v>167</v>
      </c>
    </row>
    <row r="48" spans="1:75" thickTop="1" thickBot="1" x14ac:dyDescent="0.3">
      <c r="A48" s="15">
        <v>169</v>
      </c>
      <c r="B48" s="16">
        <v>19</v>
      </c>
      <c r="C48" s="16">
        <v>9</v>
      </c>
      <c r="D48" s="17"/>
      <c r="E48" s="1">
        <v>139</v>
      </c>
      <c r="F48" s="1">
        <v>1</v>
      </c>
      <c r="G48" s="18">
        <f t="shared" si="6"/>
        <v>138</v>
      </c>
      <c r="H48" s="17"/>
      <c r="I48" s="16">
        <v>10</v>
      </c>
      <c r="J48" s="3">
        <f t="shared" si="17"/>
        <v>118.53260869565217</v>
      </c>
      <c r="K48" s="20">
        <f t="shared" si="8"/>
        <v>222</v>
      </c>
      <c r="L48" s="17"/>
      <c r="N48" s="17"/>
      <c r="O48" s="8">
        <v>0.96199999999999997</v>
      </c>
      <c r="P48" s="9">
        <v>0.13300000000000001</v>
      </c>
      <c r="Q48" s="17"/>
      <c r="R48" s="10">
        <v>290</v>
      </c>
      <c r="S48" s="11">
        <v>100</v>
      </c>
      <c r="T48" s="12">
        <v>1700</v>
      </c>
      <c r="U48" s="17"/>
      <c r="V48" s="7">
        <v>915</v>
      </c>
      <c r="W48" s="13">
        <f t="shared" si="0"/>
        <v>14.523393603033483</v>
      </c>
      <c r="Z48" s="13" t="e">
        <f t="shared" si="9"/>
        <v>#DIV/0!</v>
      </c>
      <c r="AB48" s="72">
        <v>15</v>
      </c>
      <c r="AC48" s="72">
        <v>15</v>
      </c>
      <c r="AE48" s="5">
        <f t="shared" si="10"/>
        <v>169</v>
      </c>
      <c r="AF48" s="8">
        <f>(O48*AB48+O49*AB49+O50*AB50)/100</f>
        <v>0.2094</v>
      </c>
      <c r="AG48" s="56">
        <f>(P48*AC48+P49*AC49+P50*AC50)/100</f>
        <v>3.1700000000000006E-2</v>
      </c>
      <c r="AH48" s="3">
        <f>225-5.625*($B48-0.5)</f>
        <v>120.9375</v>
      </c>
      <c r="AI48">
        <f>K48</f>
        <v>222</v>
      </c>
      <c r="AK48" s="2">
        <v>1400</v>
      </c>
      <c r="AL48" s="7">
        <f t="shared" si="1"/>
        <v>0.40599999999999997</v>
      </c>
      <c r="AM48" s="8">
        <f t="shared" si="2"/>
        <v>0.55600000000000005</v>
      </c>
      <c r="AN48" s="56">
        <f t="shared" si="3"/>
        <v>0.13999999999999999</v>
      </c>
      <c r="AO48" s="9">
        <f t="shared" si="4"/>
        <v>-6.9999999999999785E-3</v>
      </c>
      <c r="AQ48" s="90">
        <f>($AB48*AM48+$AB49*AM49+$AB50*AM50)/100</f>
        <v>0.11872000000000002</v>
      </c>
      <c r="AS48" s="95">
        <f>($AB48*AO48+$AB49*AO49+$AB50*AO50)/100</f>
        <v>-1.749999999999965E-4</v>
      </c>
      <c r="AU48" s="10">
        <f>($AB48*R48+$AB49*R49+$AB50*R50)/100</f>
        <v>92.9</v>
      </c>
      <c r="AV48" s="11">
        <f>($AB48*S48+$AB49*S49+$AB50*S50)/100</f>
        <v>33.049999999999997</v>
      </c>
      <c r="AW48" s="12">
        <f>($AB48*T48+$AB49*T49+$AB50*T50)/100</f>
        <v>910</v>
      </c>
      <c r="AX48" s="147">
        <f>($AB48*AK48+$AB49*AK49+$AB50*AK50)/100</f>
        <v>725</v>
      </c>
      <c r="BO48">
        <f t="shared" si="11"/>
        <v>1.432525</v>
      </c>
      <c r="BP48">
        <f t="shared" si="12"/>
        <v>2.30905</v>
      </c>
      <c r="BQ48">
        <f t="shared" si="13"/>
        <v>1.7246999999999999</v>
      </c>
      <c r="BR48">
        <f t="shared" si="14"/>
        <v>1.14035</v>
      </c>
      <c r="BS48" s="8">
        <f>($AB48*BO48+$AB49*BO49+$AB50*BO50)/100</f>
        <v>0.39951025000000001</v>
      </c>
      <c r="BT48" s="90">
        <f>($AB48*BP48+$AB49*BP49+$AB50*BP50)/100</f>
        <v>0.68030049999999997</v>
      </c>
      <c r="BU48" s="8">
        <f>($AB48*BQ48+$AB49*BQ49+$AB50*BQ50)/100</f>
        <v>0.49310699999999996</v>
      </c>
      <c r="BV48" s="90">
        <f>($AB48*BR48+$AB49*BR49+$AB50*BR50)/100</f>
        <v>0.30591349999999995</v>
      </c>
      <c r="BW48" s="4">
        <f t="shared" si="5"/>
        <v>169</v>
      </c>
    </row>
    <row r="49" spans="1:75" thickTop="1" thickBot="1" x14ac:dyDescent="0.3">
      <c r="A49" s="4">
        <v>169</v>
      </c>
      <c r="B49" s="93">
        <v>19</v>
      </c>
      <c r="C49" s="93">
        <v>9</v>
      </c>
      <c r="E49" s="1">
        <v>139</v>
      </c>
      <c r="F49" s="1">
        <v>1</v>
      </c>
      <c r="G49" s="3">
        <f t="shared" si="6"/>
        <v>138</v>
      </c>
      <c r="I49" s="2">
        <v>69</v>
      </c>
      <c r="J49" s="3">
        <f t="shared" si="17"/>
        <v>120.9375</v>
      </c>
      <c r="K49" s="6">
        <f t="shared" si="8"/>
        <v>222</v>
      </c>
      <c r="O49" s="8">
        <v>7.4999999999999997E-2</v>
      </c>
      <c r="P49" s="9">
        <v>1.4E-2</v>
      </c>
      <c r="R49" s="10">
        <v>60</v>
      </c>
      <c r="S49" s="11">
        <v>22</v>
      </c>
      <c r="T49" s="12">
        <v>800</v>
      </c>
      <c r="V49" s="7">
        <v>70</v>
      </c>
      <c r="W49" s="13">
        <f t="shared" si="0"/>
        <v>18.51640199545103</v>
      </c>
      <c r="Z49" s="13" t="e">
        <f t="shared" si="9"/>
        <v>#DIV/0!</v>
      </c>
      <c r="AB49" s="72">
        <v>80</v>
      </c>
      <c r="AC49" s="72">
        <v>80</v>
      </c>
      <c r="AE49" s="5">
        <f t="shared" si="10"/>
        <v>169</v>
      </c>
      <c r="AG49" s="56"/>
      <c r="AK49" s="2">
        <v>600</v>
      </c>
      <c r="AL49" s="7">
        <f t="shared" si="1"/>
        <v>3.5999999999999997E-2</v>
      </c>
      <c r="AM49" s="8">
        <f t="shared" si="2"/>
        <v>3.9E-2</v>
      </c>
      <c r="AN49" s="56">
        <f t="shared" si="3"/>
        <v>1.32E-2</v>
      </c>
      <c r="AO49" s="9">
        <f t="shared" si="4"/>
        <v>8.0000000000000036E-4</v>
      </c>
      <c r="AX49" s="147"/>
      <c r="BO49">
        <f t="shared" si="11"/>
        <v>0.22034999999999999</v>
      </c>
      <c r="BP49">
        <f t="shared" si="12"/>
        <v>0.4017</v>
      </c>
      <c r="BQ49">
        <f t="shared" si="13"/>
        <v>0.28079999999999999</v>
      </c>
      <c r="BR49">
        <f t="shared" si="14"/>
        <v>0.15989999999999999</v>
      </c>
      <c r="BS49" s="8"/>
      <c r="BT49" s="90"/>
      <c r="BU49" s="8"/>
      <c r="BV49" s="90"/>
      <c r="BW49" s="4">
        <f t="shared" si="5"/>
        <v>169</v>
      </c>
    </row>
    <row r="50" spans="1:75" s="27" customFormat="1" thickTop="1" thickBot="1" x14ac:dyDescent="0.3">
      <c r="A50" s="21">
        <v>169</v>
      </c>
      <c r="B50" s="22">
        <v>19</v>
      </c>
      <c r="C50" s="22">
        <v>9</v>
      </c>
      <c r="D50" s="23"/>
      <c r="E50" s="24">
        <v>139</v>
      </c>
      <c r="F50" s="24">
        <v>1</v>
      </c>
      <c r="G50" s="25">
        <f t="shared" si="6"/>
        <v>138</v>
      </c>
      <c r="H50" s="23"/>
      <c r="I50" s="86">
        <v>128</v>
      </c>
      <c r="J50" s="3">
        <f t="shared" si="17"/>
        <v>123.34239130434783</v>
      </c>
      <c r="K50" s="26">
        <f t="shared" si="8"/>
        <v>222</v>
      </c>
      <c r="L50" s="23"/>
      <c r="N50" s="23"/>
      <c r="O50" s="28">
        <v>0.10199999999999999</v>
      </c>
      <c r="P50" s="29">
        <v>1.0999999999999999E-2</v>
      </c>
      <c r="Q50" s="23"/>
      <c r="R50" s="30">
        <v>28</v>
      </c>
      <c r="S50" s="31">
        <v>9</v>
      </c>
      <c r="T50" s="32">
        <v>300</v>
      </c>
      <c r="U50" s="23"/>
      <c r="V50" s="33">
        <v>81</v>
      </c>
      <c r="W50" s="75">
        <f t="shared" si="0"/>
        <v>17.98490450693183</v>
      </c>
      <c r="X50" s="5"/>
      <c r="Y50" s="56"/>
      <c r="Z50" s="13" t="e">
        <f t="shared" si="9"/>
        <v>#DIV/0!</v>
      </c>
      <c r="AB50" s="27">
        <v>5</v>
      </c>
      <c r="AC50" s="27">
        <v>5</v>
      </c>
      <c r="AE50" s="5">
        <f t="shared" si="10"/>
        <v>169</v>
      </c>
      <c r="AF50" s="28"/>
      <c r="AG50" s="55"/>
      <c r="AH50" s="3"/>
      <c r="AJ50" s="5"/>
      <c r="AK50" s="2">
        <v>700</v>
      </c>
      <c r="AL50" s="7">
        <f t="shared" si="1"/>
        <v>1.9599999999999999E-2</v>
      </c>
      <c r="AM50" s="8">
        <f t="shared" si="2"/>
        <v>8.2400000000000001E-2</v>
      </c>
      <c r="AN50" s="56">
        <f t="shared" si="3"/>
        <v>6.3E-3</v>
      </c>
      <c r="AO50" s="9">
        <f t="shared" si="4"/>
        <v>4.6999999999999993E-3</v>
      </c>
      <c r="AP50" s="5"/>
      <c r="AQ50" s="91"/>
      <c r="AR50" s="5"/>
      <c r="AS50" s="96"/>
      <c r="AT50" s="5"/>
      <c r="AU50" s="30"/>
      <c r="AV50" s="31"/>
      <c r="AW50" s="32"/>
      <c r="AX50" s="147"/>
      <c r="BN50" s="5"/>
      <c r="BO50">
        <f t="shared" si="11"/>
        <v>0.16703000000000001</v>
      </c>
      <c r="BP50">
        <f t="shared" si="12"/>
        <v>0.25165999999999999</v>
      </c>
      <c r="BQ50">
        <f t="shared" si="13"/>
        <v>0.19524</v>
      </c>
      <c r="BR50">
        <f t="shared" si="14"/>
        <v>0.13882</v>
      </c>
      <c r="BS50" s="28"/>
      <c r="BT50" s="91"/>
      <c r="BU50" s="28"/>
      <c r="BV50" s="91"/>
      <c r="BW50" s="4">
        <f t="shared" si="5"/>
        <v>169</v>
      </c>
    </row>
    <row r="51" spans="1:75" thickTop="1" thickBot="1" x14ac:dyDescent="0.3">
      <c r="A51" s="15">
        <v>176</v>
      </c>
      <c r="B51" s="16">
        <v>16</v>
      </c>
      <c r="C51" s="16">
        <v>6</v>
      </c>
      <c r="D51" s="17"/>
      <c r="E51" s="1">
        <v>131</v>
      </c>
      <c r="F51" s="1">
        <v>11</v>
      </c>
      <c r="G51" s="18">
        <f t="shared" si="6"/>
        <v>120</v>
      </c>
      <c r="H51" s="17"/>
      <c r="I51" s="16">
        <v>10</v>
      </c>
      <c r="J51" s="3">
        <f t="shared" si="17"/>
        <v>135.46875</v>
      </c>
      <c r="K51" s="20">
        <f t="shared" si="8"/>
        <v>186</v>
      </c>
      <c r="L51" s="17"/>
      <c r="N51" s="17"/>
      <c r="O51" s="8">
        <v>0.15</v>
      </c>
      <c r="P51" s="9">
        <v>6.6000000000000003E-2</v>
      </c>
      <c r="Q51" s="17"/>
      <c r="R51" s="10">
        <v>167</v>
      </c>
      <c r="S51" s="11">
        <v>28</v>
      </c>
      <c r="T51" s="12">
        <v>1900</v>
      </c>
      <c r="U51" s="17"/>
      <c r="V51" s="7">
        <v>274</v>
      </c>
      <c r="W51" s="13">
        <f t="shared" si="0"/>
        <v>15.378437838901698</v>
      </c>
      <c r="Z51" s="13" t="e">
        <f t="shared" si="9"/>
        <v>#DIV/0!</v>
      </c>
      <c r="AB51" s="72">
        <v>10</v>
      </c>
      <c r="AC51" s="72">
        <v>10</v>
      </c>
      <c r="AE51" s="5">
        <f t="shared" si="10"/>
        <v>176</v>
      </c>
      <c r="AF51" s="8">
        <f>(O51*AB51+O52*AB52+O53*AB53)/100</f>
        <v>0.1741</v>
      </c>
      <c r="AG51" s="56">
        <f>(P51*AC51+P52*AC52+P53*AC53)/100</f>
        <v>6.3250000000000001E-2</v>
      </c>
      <c r="AH51" s="3">
        <f>225-5.625*($B51-0.5)</f>
        <v>137.8125</v>
      </c>
      <c r="AI51">
        <f>K51</f>
        <v>186</v>
      </c>
      <c r="AK51" s="2">
        <v>600</v>
      </c>
      <c r="AL51" s="7">
        <f t="shared" si="1"/>
        <v>0.1002</v>
      </c>
      <c r="AM51" s="8">
        <f t="shared" si="2"/>
        <v>4.9799999999999997E-2</v>
      </c>
      <c r="AN51" s="56">
        <f t="shared" si="3"/>
        <v>1.6799999999999999E-2</v>
      </c>
      <c r="AO51" s="9">
        <f t="shared" si="4"/>
        <v>4.9200000000000008E-2</v>
      </c>
      <c r="AQ51" s="90">
        <f>($AB51*AM51+$AB52*AM52+$AB53*AM53)/100</f>
        <v>3.6940000000000021E-2</v>
      </c>
      <c r="AS51" s="95">
        <f>($AB51*AO51+$AB52*AO52+$AB53*AO53)/100</f>
        <v>4.4240000000000002E-2</v>
      </c>
      <c r="AU51" s="10">
        <f>($AB51*R51+$AB52*R52+$AB53*R53)/100</f>
        <v>222.8</v>
      </c>
      <c r="AV51" s="11">
        <f>($AB51*S51+$AB52*S52+$AB53*S53)/100</f>
        <v>31.05</v>
      </c>
      <c r="AW51" s="12">
        <f>($AB51*T51+$AB52*T52+$AB53*T53)/100</f>
        <v>1825</v>
      </c>
      <c r="AX51" s="147">
        <f>($AB51*AK51+$AB52*AK52+$AB53*AK53)/100</f>
        <v>610</v>
      </c>
      <c r="BO51">
        <f t="shared" si="11"/>
        <v>0.55455750000000004</v>
      </c>
      <c r="BP51">
        <f t="shared" si="12"/>
        <v>1.059315</v>
      </c>
      <c r="BQ51">
        <f t="shared" si="13"/>
        <v>0.72281000000000006</v>
      </c>
      <c r="BR51">
        <f t="shared" si="14"/>
        <v>0.38630500000000001</v>
      </c>
      <c r="BS51" s="8">
        <f>($AB51*BO51+$AB52*BO52+$AB53*BO53)/100</f>
        <v>0.71035300000000001</v>
      </c>
      <c r="BT51" s="90">
        <f>($AB51*BP51+$AB52*BP52+$AB53*BP53)/100</f>
        <v>1.3837660000000001</v>
      </c>
      <c r="BU51" s="8">
        <f>($AB51*BQ51+$AB52*BQ52+$AB53*BQ53)/100</f>
        <v>0.93482399999999999</v>
      </c>
      <c r="BV51" s="90">
        <f>($AB51*BR51+$AB52*BR52+$AB53*BR53)/100</f>
        <v>0.48588199999999998</v>
      </c>
      <c r="BW51" s="4">
        <f t="shared" si="5"/>
        <v>176</v>
      </c>
    </row>
    <row r="52" spans="1:75" thickTop="1" thickBot="1" x14ac:dyDescent="0.3">
      <c r="A52" s="4">
        <v>176</v>
      </c>
      <c r="B52" s="2">
        <v>16</v>
      </c>
      <c r="C52" s="2">
        <v>6</v>
      </c>
      <c r="E52" s="1">
        <v>131</v>
      </c>
      <c r="F52" s="1">
        <v>11</v>
      </c>
      <c r="G52" s="3">
        <f t="shared" si="6"/>
        <v>120</v>
      </c>
      <c r="I52" s="2">
        <v>60</v>
      </c>
      <c r="J52" s="3">
        <f t="shared" si="17"/>
        <v>137.8125</v>
      </c>
      <c r="K52" s="6">
        <f t="shared" si="8"/>
        <v>186</v>
      </c>
      <c r="O52" s="8">
        <v>0.16600000000000001</v>
      </c>
      <c r="P52" s="9">
        <v>6.3E-2</v>
      </c>
      <c r="R52" s="10">
        <v>222</v>
      </c>
      <c r="S52" s="11">
        <v>31</v>
      </c>
      <c r="T52" s="12">
        <v>1800</v>
      </c>
      <c r="V52" s="7">
        <v>279</v>
      </c>
      <c r="W52" s="13">
        <f t="shared" si="0"/>
        <v>15.357157741809194</v>
      </c>
      <c r="Z52" s="13" t="e">
        <f t="shared" si="9"/>
        <v>#DIV/0!</v>
      </c>
      <c r="AB52" s="72">
        <v>85</v>
      </c>
      <c r="AC52" s="72">
        <v>85</v>
      </c>
      <c r="AE52" s="5">
        <f t="shared" si="10"/>
        <v>176</v>
      </c>
      <c r="AG52" s="56"/>
      <c r="AK52" s="2">
        <v>600</v>
      </c>
      <c r="AL52" s="7">
        <f t="shared" si="1"/>
        <v>0.13319999999999999</v>
      </c>
      <c r="AM52" s="8">
        <f t="shared" si="2"/>
        <v>3.2800000000000024E-2</v>
      </c>
      <c r="AN52" s="56">
        <f t="shared" si="3"/>
        <v>1.8599999999999998E-2</v>
      </c>
      <c r="AO52" s="9">
        <f t="shared" si="4"/>
        <v>4.4400000000000002E-2</v>
      </c>
      <c r="AX52" s="147"/>
      <c r="BO52">
        <f t="shared" si="11"/>
        <v>0.70379500000000006</v>
      </c>
      <c r="BP52">
        <f t="shared" si="12"/>
        <v>1.37479</v>
      </c>
      <c r="BQ52">
        <f t="shared" si="13"/>
        <v>0.92746000000000006</v>
      </c>
      <c r="BR52">
        <f t="shared" si="14"/>
        <v>0.48013000000000006</v>
      </c>
      <c r="BS52" s="8"/>
      <c r="BT52" s="90"/>
      <c r="BU52" s="8"/>
      <c r="BV52" s="90"/>
      <c r="BW52" s="4">
        <f t="shared" si="5"/>
        <v>176</v>
      </c>
    </row>
    <row r="53" spans="1:75" s="40" customFormat="1" thickTop="1" thickBot="1" x14ac:dyDescent="0.3">
      <c r="A53" s="35">
        <v>176</v>
      </c>
      <c r="B53" s="36">
        <v>16</v>
      </c>
      <c r="C53" s="36">
        <v>6</v>
      </c>
      <c r="D53" s="37"/>
      <c r="E53" s="38">
        <v>131</v>
      </c>
      <c r="F53" s="38">
        <v>11</v>
      </c>
      <c r="G53" s="39">
        <f t="shared" si="6"/>
        <v>120</v>
      </c>
      <c r="H53" s="37"/>
      <c r="I53" s="86">
        <v>110</v>
      </c>
      <c r="J53" s="3">
        <f t="shared" si="17"/>
        <v>140.15625</v>
      </c>
      <c r="K53" s="52">
        <f t="shared" si="8"/>
        <v>186</v>
      </c>
      <c r="L53" s="37"/>
      <c r="N53" s="37"/>
      <c r="O53" s="41">
        <v>0.36</v>
      </c>
      <c r="P53" s="42">
        <v>6.2E-2</v>
      </c>
      <c r="Q53" s="37"/>
      <c r="R53" s="43">
        <v>348</v>
      </c>
      <c r="S53" s="44">
        <v>38</v>
      </c>
      <c r="T53" s="45">
        <v>2100</v>
      </c>
      <c r="U53" s="37"/>
      <c r="V53" s="46">
        <v>680</v>
      </c>
      <c r="W53" s="75">
        <f t="shared" si="0"/>
        <v>14.652845537742532</v>
      </c>
      <c r="X53" s="5"/>
      <c r="Y53" s="56"/>
      <c r="Z53" s="13" t="e">
        <f t="shared" si="9"/>
        <v>#DIV/0!</v>
      </c>
      <c r="AB53" s="40">
        <v>5</v>
      </c>
      <c r="AC53" s="40">
        <v>5</v>
      </c>
      <c r="AE53" s="5">
        <f t="shared" si="10"/>
        <v>176</v>
      </c>
      <c r="AF53" s="28"/>
      <c r="AG53" s="55"/>
      <c r="AH53" s="3"/>
      <c r="AJ53" s="5"/>
      <c r="AK53" s="83">
        <v>800</v>
      </c>
      <c r="AL53" s="7">
        <f t="shared" si="1"/>
        <v>0.27839999999999998</v>
      </c>
      <c r="AM53" s="8">
        <f t="shared" si="2"/>
        <v>8.1600000000000006E-2</v>
      </c>
      <c r="AN53" s="56">
        <f t="shared" si="3"/>
        <v>3.04E-2</v>
      </c>
      <c r="AO53" s="9">
        <f t="shared" si="4"/>
        <v>3.1600000000000003E-2</v>
      </c>
      <c r="AP53" s="5"/>
      <c r="AQ53" s="91"/>
      <c r="AR53" s="5"/>
      <c r="AS53" s="96"/>
      <c r="AT53" s="5"/>
      <c r="AU53" s="30"/>
      <c r="AV53" s="31"/>
      <c r="AW53" s="32"/>
      <c r="AX53" s="147"/>
      <c r="BN53" s="5"/>
      <c r="BO53">
        <f t="shared" si="11"/>
        <v>1.1334299999999999</v>
      </c>
      <c r="BP53">
        <f t="shared" si="12"/>
        <v>2.18526</v>
      </c>
      <c r="BQ53">
        <f t="shared" si="13"/>
        <v>1.4840399999999998</v>
      </c>
      <c r="BR53">
        <f t="shared" si="14"/>
        <v>0.78281999999999996</v>
      </c>
      <c r="BS53" s="28"/>
      <c r="BT53" s="91"/>
      <c r="BU53" s="28"/>
      <c r="BV53" s="91"/>
      <c r="BW53" s="4">
        <f t="shared" si="5"/>
        <v>176</v>
      </c>
    </row>
    <row r="54" spans="1:75" thickTop="1" thickBot="1" x14ac:dyDescent="0.3">
      <c r="A54" s="15">
        <v>196</v>
      </c>
      <c r="B54" s="16">
        <v>20</v>
      </c>
      <c r="C54" s="16">
        <v>6</v>
      </c>
      <c r="D54" s="17"/>
      <c r="E54" s="1">
        <v>133</v>
      </c>
      <c r="F54" s="1">
        <v>11</v>
      </c>
      <c r="G54" s="18">
        <f t="shared" si="6"/>
        <v>122</v>
      </c>
      <c r="H54" s="17"/>
      <c r="I54" s="16">
        <v>10</v>
      </c>
      <c r="J54" s="3">
        <f t="shared" si="17"/>
        <v>112.9610655737705</v>
      </c>
      <c r="K54" s="20">
        <f t="shared" si="8"/>
        <v>186</v>
      </c>
      <c r="L54" s="17"/>
      <c r="N54" s="17"/>
      <c r="O54" s="8">
        <v>0.27</v>
      </c>
      <c r="P54" s="9">
        <v>7.6999999999999999E-2</v>
      </c>
      <c r="Q54" s="17"/>
      <c r="R54" s="10">
        <v>201</v>
      </c>
      <c r="S54" s="11">
        <v>64</v>
      </c>
      <c r="T54" s="12">
        <v>2800</v>
      </c>
      <c r="U54" s="17"/>
      <c r="V54" s="7">
        <v>0</v>
      </c>
      <c r="W54" s="13" t="e">
        <f t="shared" si="0"/>
        <v>#DIV/0!</v>
      </c>
      <c r="Z54" s="13" t="e">
        <f t="shared" si="9"/>
        <v>#DIV/0!</v>
      </c>
      <c r="AB54" s="89">
        <v>10</v>
      </c>
      <c r="AC54" s="89">
        <v>10</v>
      </c>
      <c r="AD54" t="s">
        <v>24</v>
      </c>
      <c r="AE54" s="5">
        <f t="shared" si="10"/>
        <v>196</v>
      </c>
      <c r="AF54" s="8">
        <f>(O54*AB54+O55*AB55+O56*AB56)/100</f>
        <v>0.2046</v>
      </c>
      <c r="AG54" s="56">
        <f>(P54*AC54+P55*AC55+P56*AC56)/100</f>
        <v>9.2399999999999996E-2</v>
      </c>
      <c r="AH54" s="3">
        <f>225-5.625*($B54-0.5)</f>
        <v>115.3125</v>
      </c>
      <c r="AI54">
        <f>K54</f>
        <v>186</v>
      </c>
      <c r="AK54" s="2">
        <v>0</v>
      </c>
      <c r="AL54" s="7">
        <f t="shared" si="1"/>
        <v>0</v>
      </c>
      <c r="AM54" s="8">
        <f t="shared" si="2"/>
        <v>0.27</v>
      </c>
      <c r="AN54" s="56">
        <f t="shared" si="3"/>
        <v>0</v>
      </c>
      <c r="AO54" s="9">
        <f t="shared" si="4"/>
        <v>7.6999999999999999E-2</v>
      </c>
      <c r="AQ54" s="90">
        <f>($AB54*AM54+$AB55*AM55+$AB56*AM56)/100</f>
        <v>6.6720000000000029E-2</v>
      </c>
      <c r="AS54" s="95">
        <f>($AB54*AO54+$AB55*AO55+$AB56*AO56)/100</f>
        <v>5.3730000000000014E-2</v>
      </c>
      <c r="AU54" s="10">
        <f>($AB54*R54+$AB55*R55+$AB56*R56)/100</f>
        <v>219.7</v>
      </c>
      <c r="AV54" s="11">
        <f>($AB54*S54+$AB55*S55+$AB56*S56)/100</f>
        <v>62.3</v>
      </c>
      <c r="AW54" s="12">
        <f>($AB54*T54+$AB55*T55+$AB56*T56)/100</f>
        <v>2028</v>
      </c>
      <c r="AX54" s="147">
        <f>($AB54*AK54+$AB55*AK55+$AB56*AK56)/100</f>
        <v>610</v>
      </c>
      <c r="BO54">
        <f t="shared" si="11"/>
        <v>0.87752249999999998</v>
      </c>
      <c r="BP54">
        <f t="shared" si="12"/>
        <v>1.4850449999999999</v>
      </c>
      <c r="BQ54">
        <f t="shared" si="13"/>
        <v>1.08003</v>
      </c>
      <c r="BR54">
        <f t="shared" si="14"/>
        <v>0.67501500000000003</v>
      </c>
      <c r="BS54" s="8">
        <f>($AB54*BO54+$AB55*BO55+$AB56*BO56)/100</f>
        <v>0.73076324999999998</v>
      </c>
      <c r="BT54" s="90">
        <f>($AB54*BP54+$AB55*BP55+$AB56*BP56)/100</f>
        <v>1.3948065000000001</v>
      </c>
      <c r="BU54" s="8">
        <f>($AB54*BQ54+$AB55*BQ55+$AB56*BQ56)/100</f>
        <v>0.95211100000000004</v>
      </c>
      <c r="BV54" s="90">
        <f>($AB54*BR54+$AB55*BR55+$AB56*BR56)/100</f>
        <v>0.50941550000000002</v>
      </c>
      <c r="BW54" s="4">
        <f t="shared" si="5"/>
        <v>196</v>
      </c>
    </row>
    <row r="55" spans="1:75" thickTop="1" thickBot="1" x14ac:dyDescent="0.3">
      <c r="A55" s="4">
        <v>196</v>
      </c>
      <c r="B55" s="93">
        <v>20</v>
      </c>
      <c r="C55" s="93">
        <v>6</v>
      </c>
      <c r="E55" s="1">
        <v>133</v>
      </c>
      <c r="F55" s="1">
        <v>11</v>
      </c>
      <c r="G55" s="3">
        <f>E55-F55</f>
        <v>122</v>
      </c>
      <c r="I55" s="2">
        <v>61</v>
      </c>
      <c r="J55" s="3">
        <f t="shared" si="17"/>
        <v>115.3125</v>
      </c>
      <c r="K55" s="6">
        <f t="shared" si="8"/>
        <v>186</v>
      </c>
      <c r="O55" s="8">
        <v>0.20300000000000001</v>
      </c>
      <c r="P55" s="9">
        <v>0.1</v>
      </c>
      <c r="R55" s="10">
        <v>238</v>
      </c>
      <c r="S55" s="11">
        <v>67</v>
      </c>
      <c r="T55" s="12">
        <v>2060</v>
      </c>
      <c r="V55" s="7">
        <v>326</v>
      </c>
      <c r="W55" s="13">
        <f t="shared" si="0"/>
        <v>15.187983626069885</v>
      </c>
      <c r="Z55" s="13" t="e">
        <f t="shared" si="9"/>
        <v>#DIV/0!</v>
      </c>
      <c r="AB55" s="89">
        <v>80</v>
      </c>
      <c r="AC55" s="89">
        <v>80</v>
      </c>
      <c r="AD55" t="s">
        <v>24</v>
      </c>
      <c r="AE55" s="5">
        <f t="shared" si="10"/>
        <v>196</v>
      </c>
      <c r="AG55" s="56"/>
      <c r="AK55" s="2">
        <v>700</v>
      </c>
      <c r="AL55" s="7">
        <f t="shared" si="1"/>
        <v>0.1666</v>
      </c>
      <c r="AM55" s="8">
        <f t="shared" si="2"/>
        <v>3.6400000000000016E-2</v>
      </c>
      <c r="AN55" s="56">
        <f t="shared" si="3"/>
        <v>4.6899999999999997E-2</v>
      </c>
      <c r="AO55" s="9">
        <f t="shared" si="4"/>
        <v>5.3100000000000008E-2</v>
      </c>
      <c r="AX55" s="147"/>
      <c r="BO55">
        <f t="shared" si="11"/>
        <v>0.75575499999999995</v>
      </c>
      <c r="BP55">
        <f t="shared" si="12"/>
        <v>1.4751100000000001</v>
      </c>
      <c r="BQ55">
        <f t="shared" si="13"/>
        <v>0.99554000000000009</v>
      </c>
      <c r="BR55">
        <f t="shared" si="14"/>
        <v>0.51597000000000004</v>
      </c>
      <c r="BS55" s="8"/>
      <c r="BT55" s="90"/>
      <c r="BU55" s="8"/>
      <c r="BV55" s="90"/>
      <c r="BW55" s="4">
        <f t="shared" si="5"/>
        <v>196</v>
      </c>
    </row>
    <row r="56" spans="1:75" s="27" customFormat="1" thickTop="1" thickBot="1" x14ac:dyDescent="0.3">
      <c r="A56" s="21">
        <v>196</v>
      </c>
      <c r="B56" s="22">
        <v>20</v>
      </c>
      <c r="C56" s="22">
        <v>6</v>
      </c>
      <c r="D56" s="23"/>
      <c r="E56" s="24">
        <v>133</v>
      </c>
      <c r="F56" s="24">
        <v>11</v>
      </c>
      <c r="G56" s="25">
        <f t="shared" si="6"/>
        <v>122</v>
      </c>
      <c r="H56" s="23"/>
      <c r="I56" s="86">
        <v>112</v>
      </c>
      <c r="J56" s="3">
        <f t="shared" si="17"/>
        <v>117.6639344262295</v>
      </c>
      <c r="K56" s="26">
        <f t="shared" si="8"/>
        <v>186</v>
      </c>
      <c r="L56" s="23"/>
      <c r="N56" s="23"/>
      <c r="O56" s="28">
        <v>0.152</v>
      </c>
      <c r="P56" s="29">
        <v>4.7E-2</v>
      </c>
      <c r="Q56" s="23"/>
      <c r="R56" s="30">
        <v>92</v>
      </c>
      <c r="S56" s="31">
        <v>23</v>
      </c>
      <c r="T56" s="32">
        <v>1000</v>
      </c>
      <c r="U56" s="23"/>
      <c r="V56" s="33">
        <v>285</v>
      </c>
      <c r="W56" s="75">
        <f t="shared" si="0"/>
        <v>15.332570537853254</v>
      </c>
      <c r="X56" s="5"/>
      <c r="Y56" s="56"/>
      <c r="Z56" s="13" t="e">
        <f t="shared" si="9"/>
        <v>#DIV/0!</v>
      </c>
      <c r="AB56" s="27">
        <v>10</v>
      </c>
      <c r="AC56" s="27">
        <v>10</v>
      </c>
      <c r="AE56" s="5">
        <f t="shared" si="10"/>
        <v>196</v>
      </c>
      <c r="AF56" s="28"/>
      <c r="AG56" s="55"/>
      <c r="AH56" s="3"/>
      <c r="AJ56" s="5"/>
      <c r="AK56" s="2">
        <v>500</v>
      </c>
      <c r="AL56" s="7">
        <f t="shared" si="1"/>
        <v>4.5999999999999999E-2</v>
      </c>
      <c r="AM56" s="8">
        <f t="shared" si="2"/>
        <v>0.106</v>
      </c>
      <c r="AN56" s="56">
        <f t="shared" si="3"/>
        <v>1.15E-2</v>
      </c>
      <c r="AO56" s="9">
        <f t="shared" si="4"/>
        <v>3.5500000000000004E-2</v>
      </c>
      <c r="AP56" s="5"/>
      <c r="AQ56" s="91"/>
      <c r="AR56" s="5"/>
      <c r="AS56" s="96"/>
      <c r="AT56" s="5"/>
      <c r="AU56" s="30"/>
      <c r="AV56" s="31"/>
      <c r="AW56" s="32"/>
      <c r="AX56" s="147"/>
      <c r="BN56" s="5"/>
      <c r="BO56">
        <f t="shared" si="11"/>
        <v>0.38407000000000002</v>
      </c>
      <c r="BP56">
        <f t="shared" si="12"/>
        <v>0.66214000000000006</v>
      </c>
      <c r="BQ56">
        <f t="shared" si="13"/>
        <v>0.47675999999999996</v>
      </c>
      <c r="BR56">
        <f t="shared" si="14"/>
        <v>0.29137999999999997</v>
      </c>
      <c r="BS56" s="28"/>
      <c r="BT56" s="91"/>
      <c r="BU56" s="28"/>
      <c r="BV56" s="91"/>
      <c r="BW56" s="4">
        <f t="shared" si="5"/>
        <v>196</v>
      </c>
    </row>
    <row r="57" spans="1:75" thickTop="1" thickBot="1" x14ac:dyDescent="0.3">
      <c r="A57" s="15">
        <v>215</v>
      </c>
      <c r="B57" s="16">
        <v>22</v>
      </c>
      <c r="C57" s="16">
        <v>5</v>
      </c>
      <c r="D57" s="17"/>
      <c r="E57" s="1">
        <v>136</v>
      </c>
      <c r="F57" s="1">
        <v>10</v>
      </c>
      <c r="G57" s="18">
        <f t="shared" si="6"/>
        <v>126</v>
      </c>
      <c r="H57" s="17"/>
      <c r="I57" s="19">
        <v>10</v>
      </c>
      <c r="J57" s="3">
        <f t="shared" si="15"/>
        <v>106.42857142857143</v>
      </c>
      <c r="K57" s="20">
        <f t="shared" si="8"/>
        <v>174</v>
      </c>
      <c r="L57" s="17"/>
      <c r="N57" s="17"/>
      <c r="O57" s="8">
        <v>0.53</v>
      </c>
      <c r="P57" s="9">
        <v>6.2E-2</v>
      </c>
      <c r="Q57" s="17"/>
      <c r="R57" s="10">
        <v>236</v>
      </c>
      <c r="S57" s="11">
        <v>63</v>
      </c>
      <c r="T57" s="12">
        <v>1800</v>
      </c>
      <c r="U57" s="17"/>
      <c r="V57" s="7">
        <v>437</v>
      </c>
      <c r="W57" s="13">
        <f t="shared" si="0"/>
        <v>14.92927644577955</v>
      </c>
      <c r="Z57" s="13" t="e">
        <f t="shared" si="9"/>
        <v>#DIV/0!</v>
      </c>
      <c r="AB57" s="72">
        <v>10</v>
      </c>
      <c r="AC57" s="72">
        <v>10</v>
      </c>
      <c r="AE57" s="5">
        <f t="shared" si="10"/>
        <v>215</v>
      </c>
      <c r="AF57" s="8">
        <f>(O57*AB57+O58*AB58+O59*AB59)/100</f>
        <v>0.27960000000000002</v>
      </c>
      <c r="AG57" s="56">
        <f>(P57*AC57+P58*AC58+P59*AC59)/100</f>
        <v>9.1999999999999998E-2</v>
      </c>
      <c r="AH57" s="3">
        <f>225-5.625*($B57-0.5)</f>
        <v>104.0625</v>
      </c>
      <c r="AI57">
        <f>K57</f>
        <v>174</v>
      </c>
      <c r="AK57" s="2">
        <v>1000</v>
      </c>
      <c r="AL57" s="7">
        <f t="shared" si="1"/>
        <v>0.23599999999999999</v>
      </c>
      <c r="AM57" s="8">
        <f t="shared" si="2"/>
        <v>0.29400000000000004</v>
      </c>
      <c r="AN57" s="56">
        <f t="shared" si="3"/>
        <v>6.3E-2</v>
      </c>
      <c r="AO57" s="9">
        <f t="shared" si="4"/>
        <v>-1.0000000000000009E-3</v>
      </c>
      <c r="AQ57" s="90">
        <f>($AB57*AM57+$AB58*AM58+$AB59*AM59)/100</f>
        <v>0.14032000000000003</v>
      </c>
      <c r="AS57" s="95">
        <f>($AB57*AO57+$AB58*AO58+$AB59*AO59)/100</f>
        <v>5.1859999999999996E-2</v>
      </c>
      <c r="AU57" s="10">
        <f>($AB57*R57+$AB58*R58+$AB59*R59)/100</f>
        <v>207</v>
      </c>
      <c r="AV57" s="11">
        <f>($AB57*S57+$AB58*S58+$AB59*S59)/100</f>
        <v>60.6</v>
      </c>
      <c r="AW57" s="12">
        <f>($AB57*T57+$AB58*T58+$AB59*T59)/100</f>
        <v>1587</v>
      </c>
      <c r="AX57" s="147">
        <f>($AB57*AK57+$AB58*AK58+$AB59*AK59)/100</f>
        <v>660</v>
      </c>
      <c r="BO57">
        <f t="shared" si="11"/>
        <v>1.0073099999999999</v>
      </c>
      <c r="BP57">
        <f t="shared" si="12"/>
        <v>1.72062</v>
      </c>
      <c r="BQ57">
        <f t="shared" si="13"/>
        <v>1.2450800000000002</v>
      </c>
      <c r="BR57">
        <f t="shared" si="14"/>
        <v>0.76954</v>
      </c>
      <c r="BS57" s="8">
        <f>($AB57*BO57+$AB58*BO58+$AB59*BO59)/100</f>
        <v>0.76597750000000009</v>
      </c>
      <c r="BT57" s="90">
        <f>($AB57*BP57+$AB58*BP58+$AB59*BP59)/100</f>
        <v>1.391635</v>
      </c>
      <c r="BU57" s="8">
        <f>($AB57*BQ57+$AB58*BQ58+$AB59*BQ59)/100</f>
        <v>0.97453000000000001</v>
      </c>
      <c r="BV57" s="90">
        <f>($AB57*BR57+$AB58*BR58+$AB59*BR59)/100</f>
        <v>0.55742499999999995</v>
      </c>
      <c r="BW57" s="4">
        <f t="shared" si="5"/>
        <v>215</v>
      </c>
    </row>
    <row r="58" spans="1:75" thickTop="1" thickBot="1" x14ac:dyDescent="0.3">
      <c r="A58" s="4">
        <v>215</v>
      </c>
      <c r="B58" s="93">
        <v>22</v>
      </c>
      <c r="C58" s="93">
        <v>5</v>
      </c>
      <c r="E58" s="1">
        <v>136</v>
      </c>
      <c r="F58" s="1">
        <v>10</v>
      </c>
      <c r="G58" s="3">
        <f t="shared" si="6"/>
        <v>126</v>
      </c>
      <c r="I58" s="2">
        <v>63</v>
      </c>
      <c r="J58" s="3">
        <f t="shared" si="15"/>
        <v>104.0625</v>
      </c>
      <c r="K58" s="6">
        <f t="shared" si="8"/>
        <v>174</v>
      </c>
      <c r="O58" s="8">
        <v>0.255</v>
      </c>
      <c r="P58" s="9">
        <v>8.7999999999999995E-2</v>
      </c>
      <c r="R58" s="10">
        <v>194</v>
      </c>
      <c r="S58" s="11">
        <v>60</v>
      </c>
      <c r="T58" s="12">
        <v>1500</v>
      </c>
      <c r="V58" s="7">
        <v>213</v>
      </c>
      <c r="W58" s="13">
        <f t="shared" si="0"/>
        <v>15.714590570788403</v>
      </c>
      <c r="Z58" s="13" t="e">
        <f t="shared" si="9"/>
        <v>#DIV/0!</v>
      </c>
      <c r="AB58" s="72">
        <v>80</v>
      </c>
      <c r="AC58" s="72">
        <v>80</v>
      </c>
      <c r="AE58" s="5">
        <f t="shared" si="10"/>
        <v>215</v>
      </c>
      <c r="AG58" s="56"/>
      <c r="AK58" s="2">
        <v>600</v>
      </c>
      <c r="AL58" s="7">
        <f t="shared" si="1"/>
        <v>0.11639999999999999</v>
      </c>
      <c r="AM58" s="8">
        <f t="shared" si="2"/>
        <v>0.1386</v>
      </c>
      <c r="AN58" s="56">
        <f t="shared" si="3"/>
        <v>3.5999999999999997E-2</v>
      </c>
      <c r="AO58" s="9">
        <f t="shared" si="4"/>
        <v>5.1999999999999998E-2</v>
      </c>
      <c r="AX58" s="147"/>
      <c r="BO58">
        <f t="shared" si="11"/>
        <v>0.72496500000000008</v>
      </c>
      <c r="BP58">
        <f t="shared" si="12"/>
        <v>1.3113299999999999</v>
      </c>
      <c r="BQ58">
        <f t="shared" si="13"/>
        <v>0.92042000000000002</v>
      </c>
      <c r="BR58">
        <f t="shared" si="14"/>
        <v>0.52950999999999993</v>
      </c>
      <c r="BS58" s="8"/>
      <c r="BT58" s="90"/>
      <c r="BU58" s="8"/>
      <c r="BV58" s="90"/>
      <c r="BW58" s="4">
        <f t="shared" si="5"/>
        <v>215</v>
      </c>
    </row>
    <row r="59" spans="1:75" s="27" customFormat="1" thickTop="1" thickBot="1" x14ac:dyDescent="0.3">
      <c r="A59" s="21">
        <v>215</v>
      </c>
      <c r="B59" s="22">
        <v>22</v>
      </c>
      <c r="C59" s="22">
        <v>5</v>
      </c>
      <c r="D59" s="23"/>
      <c r="E59" s="24">
        <v>136</v>
      </c>
      <c r="F59" s="24">
        <v>10</v>
      </c>
      <c r="G59" s="25">
        <f t="shared" si="6"/>
        <v>126</v>
      </c>
      <c r="H59" s="23"/>
      <c r="I59" s="22">
        <v>116</v>
      </c>
      <c r="J59" s="3">
        <f t="shared" si="15"/>
        <v>101.69642857142857</v>
      </c>
      <c r="K59" s="26">
        <f t="shared" si="8"/>
        <v>174</v>
      </c>
      <c r="L59" s="23"/>
      <c r="N59" s="23"/>
      <c r="O59" s="28">
        <v>0.22600000000000001</v>
      </c>
      <c r="P59" s="29">
        <v>0.154</v>
      </c>
      <c r="Q59" s="23"/>
      <c r="R59" s="30">
        <v>282</v>
      </c>
      <c r="S59" s="31">
        <v>63</v>
      </c>
      <c r="T59" s="32">
        <v>2070</v>
      </c>
      <c r="U59" s="23"/>
      <c r="V59" s="33">
        <v>0</v>
      </c>
      <c r="W59" s="75" t="e">
        <f t="shared" si="0"/>
        <v>#DIV/0!</v>
      </c>
      <c r="X59" s="5"/>
      <c r="Y59" s="56"/>
      <c r="Z59" s="13" t="e">
        <f t="shared" si="9"/>
        <v>#DIV/0!</v>
      </c>
      <c r="AB59" s="27">
        <v>10</v>
      </c>
      <c r="AC59" s="27">
        <v>10</v>
      </c>
      <c r="AE59" s="5">
        <f t="shared" si="10"/>
        <v>215</v>
      </c>
      <c r="AF59" s="28"/>
      <c r="AG59" s="55"/>
      <c r="AH59" s="3"/>
      <c r="AJ59" s="5"/>
      <c r="AK59" s="2">
        <v>800</v>
      </c>
      <c r="AL59" s="7">
        <f t="shared" si="1"/>
        <v>0.22559999999999999</v>
      </c>
      <c r="AM59" s="8">
        <f t="shared" si="2"/>
        <v>4.0000000000001146E-4</v>
      </c>
      <c r="AN59" s="56">
        <f t="shared" si="3"/>
        <v>5.04E-2</v>
      </c>
      <c r="AO59" s="9">
        <f t="shared" si="4"/>
        <v>0.1036</v>
      </c>
      <c r="AP59" s="5"/>
      <c r="AQ59" s="91"/>
      <c r="AR59" s="5"/>
      <c r="AS59" s="96"/>
      <c r="AT59" s="5"/>
      <c r="AU59" s="30"/>
      <c r="AV59" s="31"/>
      <c r="AW59" s="32"/>
      <c r="AX59" s="147"/>
      <c r="BN59" s="5"/>
      <c r="BO59">
        <f t="shared" si="11"/>
        <v>0.85274499999999998</v>
      </c>
      <c r="BP59">
        <f t="shared" si="12"/>
        <v>1.70509</v>
      </c>
      <c r="BQ59">
        <f t="shared" si="13"/>
        <v>1.13686</v>
      </c>
      <c r="BR59">
        <f t="shared" si="14"/>
        <v>0.56862999999999997</v>
      </c>
      <c r="BS59" s="28"/>
      <c r="BT59" s="91"/>
      <c r="BU59" s="28"/>
      <c r="BV59" s="91"/>
      <c r="BW59" s="4">
        <f t="shared" si="5"/>
        <v>215</v>
      </c>
    </row>
    <row r="60" spans="1:75" thickTop="1" thickBot="1" x14ac:dyDescent="0.3">
      <c r="A60" s="15">
        <v>216</v>
      </c>
      <c r="B60" s="16">
        <v>22</v>
      </c>
      <c r="C60" s="16">
        <v>6</v>
      </c>
      <c r="D60" s="17"/>
      <c r="E60" s="1">
        <v>130</v>
      </c>
      <c r="F60" s="1">
        <v>8</v>
      </c>
      <c r="G60" s="18">
        <f t="shared" si="6"/>
        <v>122</v>
      </c>
      <c r="H60" s="17"/>
      <c r="I60" s="16">
        <v>10</v>
      </c>
      <c r="J60" s="3">
        <f>225-5.625*(B60-0.5-(I60-0.5*G60)/G60)</f>
        <v>101.7110655737705</v>
      </c>
      <c r="K60" s="20">
        <f t="shared" si="8"/>
        <v>186</v>
      </c>
      <c r="L60" s="17"/>
      <c r="N60" s="17"/>
      <c r="O60" s="8">
        <v>0.152</v>
      </c>
      <c r="P60" s="9">
        <v>8.1000000000000003E-2</v>
      </c>
      <c r="Q60" s="17"/>
      <c r="R60" s="10">
        <v>130</v>
      </c>
      <c r="S60" s="11">
        <v>17</v>
      </c>
      <c r="T60" s="12">
        <v>800</v>
      </c>
      <c r="U60" s="17"/>
      <c r="V60" s="7">
        <v>219</v>
      </c>
      <c r="W60" s="13">
        <f t="shared" si="0"/>
        <v>15.673611595819933</v>
      </c>
      <c r="Z60" s="13" t="e">
        <f t="shared" si="9"/>
        <v>#DIV/0!</v>
      </c>
      <c r="AB60" s="72">
        <v>10</v>
      </c>
      <c r="AC60" s="72">
        <v>10</v>
      </c>
      <c r="AE60" s="5">
        <f t="shared" si="10"/>
        <v>216</v>
      </c>
      <c r="AF60" s="8">
        <f>(O60*AB60+O61*AB61+O62*AB62)/100</f>
        <v>0.14554999999999998</v>
      </c>
      <c r="AG60" s="56">
        <f>(P60*AC60+P61*AC61+P62*AC62)/100</f>
        <v>8.6099999999999996E-2</v>
      </c>
      <c r="AH60" s="3">
        <f>225-5.625*($B60-0.5)</f>
        <v>104.0625</v>
      </c>
      <c r="AI60">
        <f>K60</f>
        <v>186</v>
      </c>
      <c r="AK60" s="2">
        <v>800</v>
      </c>
      <c r="AL60" s="7">
        <f t="shared" si="1"/>
        <v>0.104</v>
      </c>
      <c r="AM60" s="8">
        <f t="shared" si="2"/>
        <v>4.8000000000000001E-2</v>
      </c>
      <c r="AN60" s="56">
        <f t="shared" si="3"/>
        <v>1.3599999999999999E-2</v>
      </c>
      <c r="AO60" s="9">
        <f t="shared" si="4"/>
        <v>6.7400000000000002E-2</v>
      </c>
      <c r="AQ60" s="90">
        <f>($AB60*AM60+$AB61*AM61+$AB62*AM62)/100</f>
        <v>4.4430000000000011E-2</v>
      </c>
      <c r="AS60" s="95">
        <f>($AB60*AO60+$AB61*AO61+$AB62*AO62)/100</f>
        <v>7.2980000000000003E-2</v>
      </c>
      <c r="AU60" s="10">
        <f>($AB60*R60+$AB61*R61+$AB62*R62)/100</f>
        <v>164.2</v>
      </c>
      <c r="AV60" s="11">
        <f>($AB60*S60+$AB61*S61+$AB62*S62)/100</f>
        <v>21.3</v>
      </c>
      <c r="AW60" s="12">
        <f>($AB60*T60+$AB61*T61+$AB62*T62)/100</f>
        <v>1175</v>
      </c>
      <c r="AX60" s="147">
        <f>($AB60*AK60+$AB61*AK61+$AB62*AK62)/100</f>
        <v>620</v>
      </c>
      <c r="BO60">
        <f t="shared" si="11"/>
        <v>0.44092500000000001</v>
      </c>
      <c r="BP60">
        <f t="shared" si="12"/>
        <v>0.83384999999999998</v>
      </c>
      <c r="BQ60">
        <f t="shared" si="13"/>
        <v>0.57189999999999996</v>
      </c>
      <c r="BR60">
        <f t="shared" si="14"/>
        <v>0.30995</v>
      </c>
      <c r="BS60" s="8">
        <f>($AB60*BO60+$AB61*BO61+$AB62*BO62)/100</f>
        <v>0.54072450000000005</v>
      </c>
      <c r="BT60" s="90">
        <f>($AB60*BP60+$AB61*BP61+$AB62*BP62)/100</f>
        <v>1.0370189999999999</v>
      </c>
      <c r="BU60" s="8">
        <f>($AB60*BQ60+$AB61*BQ61+$AB62*BQ62)/100</f>
        <v>0.70615600000000001</v>
      </c>
      <c r="BV60" s="90">
        <f>($AB60*BR60+$AB61*BR61+$AB62*BR62)/100</f>
        <v>0.37529299999999999</v>
      </c>
      <c r="BW60" s="4">
        <f t="shared" si="5"/>
        <v>216</v>
      </c>
    </row>
    <row r="61" spans="1:75" thickTop="1" thickBot="1" x14ac:dyDescent="0.3">
      <c r="A61" s="4">
        <v>216</v>
      </c>
      <c r="B61" s="93">
        <v>22</v>
      </c>
      <c r="C61" s="93">
        <v>6</v>
      </c>
      <c r="E61" s="1">
        <v>130</v>
      </c>
      <c r="F61" s="1">
        <v>8</v>
      </c>
      <c r="G61" s="3">
        <f t="shared" si="6"/>
        <v>122</v>
      </c>
      <c r="I61" s="2">
        <v>61</v>
      </c>
      <c r="J61" s="3">
        <f>225-5.625*(B61-0.5-(I61-0.5*G61)/G61)</f>
        <v>104.0625</v>
      </c>
      <c r="K61" s="6">
        <f t="shared" si="8"/>
        <v>186</v>
      </c>
      <c r="O61" s="8">
        <v>0.13800000000000001</v>
      </c>
      <c r="P61" s="9">
        <v>8.8999999999999996E-2</v>
      </c>
      <c r="R61" s="10">
        <v>167</v>
      </c>
      <c r="S61" s="11">
        <v>21</v>
      </c>
      <c r="T61" s="12">
        <v>1200</v>
      </c>
      <c r="V61" s="7">
        <v>206</v>
      </c>
      <c r="W61" s="13">
        <f t="shared" si="0"/>
        <v>15.765268450628692</v>
      </c>
      <c r="Z61" s="13" t="e">
        <f t="shared" si="9"/>
        <v>#DIV/0!</v>
      </c>
      <c r="AB61" s="72">
        <v>85</v>
      </c>
      <c r="AC61" s="72">
        <v>85</v>
      </c>
      <c r="AD61" t="s">
        <v>25</v>
      </c>
      <c r="AE61" s="5">
        <f t="shared" si="10"/>
        <v>216</v>
      </c>
      <c r="AG61" s="56"/>
      <c r="AK61" s="2">
        <v>600</v>
      </c>
      <c r="AL61" s="7">
        <f t="shared" si="1"/>
        <v>0.1002</v>
      </c>
      <c r="AM61" s="8">
        <f t="shared" si="2"/>
        <v>3.7800000000000014E-2</v>
      </c>
      <c r="AN61" s="56">
        <f t="shared" si="3"/>
        <v>1.26E-2</v>
      </c>
      <c r="AO61" s="9">
        <f t="shared" si="4"/>
        <v>7.6399999999999996E-2</v>
      </c>
      <c r="AX61" s="147"/>
      <c r="BO61">
        <f t="shared" si="11"/>
        <v>0.54255750000000003</v>
      </c>
      <c r="BP61">
        <f t="shared" si="12"/>
        <v>1.047315</v>
      </c>
      <c r="BQ61">
        <f t="shared" si="13"/>
        <v>0.71081000000000005</v>
      </c>
      <c r="BR61">
        <f t="shared" si="14"/>
        <v>0.374305</v>
      </c>
      <c r="BS61" s="8"/>
      <c r="BT61" s="90"/>
      <c r="BU61" s="8"/>
      <c r="BV61" s="90"/>
      <c r="BW61" s="4">
        <f t="shared" si="5"/>
        <v>216</v>
      </c>
    </row>
    <row r="62" spans="1:75" s="27" customFormat="1" thickTop="1" thickBot="1" x14ac:dyDescent="0.3">
      <c r="A62" s="21">
        <v>216</v>
      </c>
      <c r="B62" s="22">
        <v>22</v>
      </c>
      <c r="C62" s="22">
        <v>6</v>
      </c>
      <c r="D62" s="23"/>
      <c r="E62" s="24">
        <v>130</v>
      </c>
      <c r="F62" s="24">
        <v>8</v>
      </c>
      <c r="G62" s="25">
        <f t="shared" si="6"/>
        <v>122</v>
      </c>
      <c r="H62" s="23"/>
      <c r="I62" s="86">
        <v>112</v>
      </c>
      <c r="J62" s="3">
        <f>225-5.625*(B62-0.5-(I62-0.5*G62)/G62)</f>
        <v>106.4139344262295</v>
      </c>
      <c r="K62" s="26">
        <f t="shared" si="8"/>
        <v>186</v>
      </c>
      <c r="L62" s="23"/>
      <c r="N62" s="23"/>
      <c r="O62" s="28">
        <v>0.26100000000000001</v>
      </c>
      <c r="P62" s="29">
        <v>4.7E-2</v>
      </c>
      <c r="Q62" s="23"/>
      <c r="R62" s="30">
        <v>185</v>
      </c>
      <c r="S62" s="31">
        <v>35</v>
      </c>
      <c r="T62" s="32">
        <v>1500</v>
      </c>
      <c r="U62" s="23"/>
      <c r="V62" s="33">
        <v>476</v>
      </c>
      <c r="W62" s="75">
        <f t="shared" si="0"/>
        <v>14.866351380259534</v>
      </c>
      <c r="X62" s="5"/>
      <c r="Y62" s="56"/>
      <c r="Z62" s="13" t="e">
        <f t="shared" si="9"/>
        <v>#DIV/0!</v>
      </c>
      <c r="AB62" s="27">
        <v>5</v>
      </c>
      <c r="AC62" s="27">
        <v>5</v>
      </c>
      <c r="AD62" s="27" t="s">
        <v>25</v>
      </c>
      <c r="AE62" s="5">
        <f t="shared" si="10"/>
        <v>216</v>
      </c>
      <c r="AF62" s="28"/>
      <c r="AG62" s="55"/>
      <c r="AH62" s="3"/>
      <c r="AJ62" s="5"/>
      <c r="AK62" s="2">
        <v>600</v>
      </c>
      <c r="AL62" s="7">
        <f t="shared" si="1"/>
        <v>0.111</v>
      </c>
      <c r="AM62" s="8">
        <f t="shared" si="2"/>
        <v>0.15000000000000002</v>
      </c>
      <c r="AN62" s="56">
        <f t="shared" si="3"/>
        <v>2.0999999999999998E-2</v>
      </c>
      <c r="AO62" s="9">
        <f t="shared" si="4"/>
        <v>2.6000000000000002E-2</v>
      </c>
      <c r="AP62" s="5"/>
      <c r="AQ62" s="91"/>
      <c r="AR62" s="5"/>
      <c r="AS62" s="96"/>
      <c r="AT62" s="5"/>
      <c r="AU62" s="30"/>
      <c r="AV62" s="31"/>
      <c r="AW62" s="32"/>
      <c r="AX62" s="147"/>
      <c r="BN62" s="5"/>
      <c r="BO62">
        <f t="shared" si="11"/>
        <v>0.70916250000000003</v>
      </c>
      <c r="BP62">
        <f t="shared" si="12"/>
        <v>1.2683249999999999</v>
      </c>
      <c r="BQ62">
        <f t="shared" si="13"/>
        <v>0.89554999999999996</v>
      </c>
      <c r="BR62">
        <f t="shared" si="14"/>
        <v>0.52277499999999999</v>
      </c>
      <c r="BS62" s="28"/>
      <c r="BT62" s="91"/>
      <c r="BU62" s="28"/>
      <c r="BV62" s="91"/>
      <c r="BW62" s="4">
        <f t="shared" si="5"/>
        <v>216</v>
      </c>
    </row>
    <row r="63" spans="1:75" thickTop="1" thickBot="1" x14ac:dyDescent="0.3">
      <c r="A63" s="15" t="s">
        <v>26</v>
      </c>
      <c r="B63" s="16">
        <v>23</v>
      </c>
      <c r="C63" s="16">
        <v>4</v>
      </c>
      <c r="D63" s="17"/>
      <c r="E63" s="1">
        <v>135</v>
      </c>
      <c r="F63" s="1">
        <v>16</v>
      </c>
      <c r="G63" s="18">
        <f t="shared" si="6"/>
        <v>119</v>
      </c>
      <c r="H63" s="17"/>
      <c r="I63" s="19">
        <v>10</v>
      </c>
      <c r="J63" s="3">
        <f t="shared" si="15"/>
        <v>100.77731092436974</v>
      </c>
      <c r="K63" s="20">
        <f t="shared" si="8"/>
        <v>162</v>
      </c>
      <c r="L63" s="17"/>
      <c r="N63" s="17"/>
      <c r="O63" s="8">
        <v>0.14299999999999999</v>
      </c>
      <c r="P63" s="9">
        <v>9.0999999999999998E-2</v>
      </c>
      <c r="Q63" s="17"/>
      <c r="R63" s="10">
        <v>100</v>
      </c>
      <c r="S63" s="11">
        <v>23</v>
      </c>
      <c r="T63" s="12">
        <v>1000</v>
      </c>
      <c r="U63" s="17"/>
      <c r="V63" s="7">
        <v>160</v>
      </c>
      <c r="W63" s="13">
        <f t="shared" si="0"/>
        <v>16.201851746019653</v>
      </c>
      <c r="Z63" s="13" t="e">
        <f t="shared" si="9"/>
        <v>#DIV/0!</v>
      </c>
      <c r="AB63" s="72">
        <v>10</v>
      </c>
      <c r="AC63" s="72">
        <v>10</v>
      </c>
      <c r="AD63" t="s">
        <v>25</v>
      </c>
      <c r="AE63" s="5" t="str">
        <f t="shared" si="10"/>
        <v>224 (2)</v>
      </c>
      <c r="AF63" s="8">
        <f>(O63*AB63+O64*AB64+O65*AB65)/100</f>
        <v>0.185</v>
      </c>
      <c r="AG63" s="56">
        <f>(P63*AC63+P64*AC64+P65*AC65)/100</f>
        <v>8.14E-2</v>
      </c>
      <c r="AH63" s="3">
        <f>225-5.625*($B63-0.5)</f>
        <v>98.4375</v>
      </c>
      <c r="AI63">
        <f>K63</f>
        <v>162</v>
      </c>
      <c r="AK63" s="2">
        <v>700</v>
      </c>
      <c r="AL63" s="7">
        <f t="shared" si="1"/>
        <v>6.9999999999999993E-2</v>
      </c>
      <c r="AM63" s="8">
        <f t="shared" si="2"/>
        <v>7.2999999999999995E-2</v>
      </c>
      <c r="AN63" s="56">
        <f t="shared" si="3"/>
        <v>1.61E-2</v>
      </c>
      <c r="AO63" s="9">
        <f t="shared" si="4"/>
        <v>7.4899999999999994E-2</v>
      </c>
      <c r="AQ63" s="90">
        <f>($AB63*AM63+$AB64*AM64+$AB65*AM65)/100</f>
        <v>7.2819999999999996E-2</v>
      </c>
      <c r="AS63" s="95">
        <f>($AB63*AO63+$AB64*AO64+$AB65*AO65)/100</f>
        <v>6.5430000000000002E-2</v>
      </c>
      <c r="AU63" s="10">
        <f>($AB63*R63+$AB64*R64+$AB65*R65)/100</f>
        <v>162.9</v>
      </c>
      <c r="AV63" s="11">
        <f>($AB63*S63+$AB64*S64+$AB65*S65)/100</f>
        <v>23.3</v>
      </c>
      <c r="AW63" s="12">
        <f>($AB63*T63+$AB64*T64+$AB65*T65)/100</f>
        <v>1030</v>
      </c>
      <c r="AX63" s="147">
        <f>($AB63*AK63+$AB64*AK64+$AB65*AK65)/100</f>
        <v>690</v>
      </c>
      <c r="BO63">
        <f t="shared" si="11"/>
        <v>0.37524999999999997</v>
      </c>
      <c r="BP63">
        <f t="shared" si="12"/>
        <v>0.67749999999999999</v>
      </c>
      <c r="BQ63">
        <f t="shared" si="13"/>
        <v>0.47599999999999998</v>
      </c>
      <c r="BR63">
        <f t="shared" si="14"/>
        <v>0.27449999999999997</v>
      </c>
      <c r="BS63" s="8">
        <f>($AB63*BO63+$AB64*BO64+$AB65*BO65)/100</f>
        <v>0.56518524999999997</v>
      </c>
      <c r="BT63" s="90">
        <f>($AB63*BP63+$AB64*BP64+$AB65*BP65)/100</f>
        <v>1.0575505000000001</v>
      </c>
      <c r="BU63" s="8">
        <f>($AB63*BQ63+$AB64*BQ64+$AB65*BQ65)/100</f>
        <v>0.72930700000000015</v>
      </c>
      <c r="BV63" s="90">
        <f>($AB63*BR63+$AB64*BR64+$AB65*BR65)/100</f>
        <v>0.40106350000000002</v>
      </c>
      <c r="BW63" s="4" t="str">
        <f t="shared" si="5"/>
        <v>224 (2)</v>
      </c>
    </row>
    <row r="64" spans="1:75" thickTop="1" thickBot="1" x14ac:dyDescent="0.3">
      <c r="A64" s="4" t="s">
        <v>26</v>
      </c>
      <c r="B64" s="2">
        <v>23</v>
      </c>
      <c r="C64" s="2">
        <v>4</v>
      </c>
      <c r="E64" s="1">
        <v>135</v>
      </c>
      <c r="F64" s="1">
        <v>16</v>
      </c>
      <c r="G64" s="3">
        <f t="shared" si="6"/>
        <v>119</v>
      </c>
      <c r="I64" s="2">
        <v>59</v>
      </c>
      <c r="J64" s="3">
        <f t="shared" si="15"/>
        <v>98.461134453781526</v>
      </c>
      <c r="K64" s="6">
        <f t="shared" si="8"/>
        <v>162</v>
      </c>
      <c r="O64" s="8">
        <v>0.19</v>
      </c>
      <c r="P64" s="9">
        <v>8.3000000000000004E-2</v>
      </c>
      <c r="R64" s="10">
        <v>168</v>
      </c>
      <c r="S64" s="11">
        <v>22</v>
      </c>
      <c r="T64" s="12">
        <v>1000</v>
      </c>
      <c r="V64" s="7">
        <v>209</v>
      </c>
      <c r="W64" s="13">
        <f t="shared" si="0"/>
        <v>15.743153748603014</v>
      </c>
      <c r="Z64" s="13" t="e">
        <f t="shared" si="9"/>
        <v>#DIV/0!</v>
      </c>
      <c r="AB64" s="72">
        <v>80</v>
      </c>
      <c r="AC64" s="72">
        <v>80</v>
      </c>
      <c r="AE64" s="5" t="str">
        <f t="shared" si="10"/>
        <v>224 (2)</v>
      </c>
      <c r="AG64" s="56"/>
      <c r="AK64" s="2">
        <v>700</v>
      </c>
      <c r="AL64" s="7">
        <f t="shared" si="1"/>
        <v>0.1176</v>
      </c>
      <c r="AM64" s="8">
        <f t="shared" si="2"/>
        <v>7.2400000000000006E-2</v>
      </c>
      <c r="AN64" s="56">
        <f t="shared" si="3"/>
        <v>1.5399999999999999E-2</v>
      </c>
      <c r="AO64" s="9">
        <f t="shared" si="4"/>
        <v>6.7600000000000007E-2</v>
      </c>
      <c r="AX64" s="147"/>
      <c r="BO64">
        <f t="shared" si="11"/>
        <v>0.58018000000000003</v>
      </c>
      <c r="BP64">
        <f t="shared" si="12"/>
        <v>1.08796</v>
      </c>
      <c r="BQ64">
        <f t="shared" si="13"/>
        <v>0.74944000000000011</v>
      </c>
      <c r="BR64">
        <f t="shared" si="14"/>
        <v>0.41092000000000001</v>
      </c>
      <c r="BS64" s="8"/>
      <c r="BT64" s="90"/>
      <c r="BU64" s="8"/>
      <c r="BV64" s="90"/>
      <c r="BW64" s="4" t="str">
        <f t="shared" si="5"/>
        <v>224 (2)</v>
      </c>
    </row>
    <row r="65" spans="1:75" s="27" customFormat="1" thickTop="1" thickBot="1" x14ac:dyDescent="0.3">
      <c r="A65" s="21" t="s">
        <v>26</v>
      </c>
      <c r="B65" s="22">
        <v>23</v>
      </c>
      <c r="C65" s="22">
        <v>4</v>
      </c>
      <c r="D65" s="23"/>
      <c r="E65" s="24">
        <v>135</v>
      </c>
      <c r="F65" s="24">
        <v>16</v>
      </c>
      <c r="G65" s="25">
        <f t="shared" si="6"/>
        <v>119</v>
      </c>
      <c r="H65" s="23"/>
      <c r="I65" s="22">
        <v>109</v>
      </c>
      <c r="J65" s="3">
        <f t="shared" si="15"/>
        <v>96.097689075630257</v>
      </c>
      <c r="K65" s="26">
        <f t="shared" si="8"/>
        <v>162</v>
      </c>
      <c r="L65" s="23"/>
      <c r="N65" s="23"/>
      <c r="O65" s="28">
        <v>0.187</v>
      </c>
      <c r="P65" s="29">
        <v>5.8999999999999997E-2</v>
      </c>
      <c r="Q65" s="23"/>
      <c r="R65" s="30">
        <v>185</v>
      </c>
      <c r="S65" s="31">
        <v>34</v>
      </c>
      <c r="T65" s="32">
        <v>1300</v>
      </c>
      <c r="U65" s="23"/>
      <c r="V65" s="33">
        <v>202</v>
      </c>
      <c r="W65" s="75">
        <f t="shared" si="0"/>
        <v>15.795725703336633</v>
      </c>
      <c r="X65" s="5"/>
      <c r="Y65" s="56"/>
      <c r="Z65" s="13" t="e">
        <f t="shared" si="9"/>
        <v>#DIV/0!</v>
      </c>
      <c r="AB65" s="27">
        <v>10</v>
      </c>
      <c r="AC65" s="27">
        <v>10</v>
      </c>
      <c r="AD65" s="27" t="s">
        <v>25</v>
      </c>
      <c r="AE65" s="5" t="str">
        <f t="shared" si="10"/>
        <v>224 (2)</v>
      </c>
      <c r="AF65" s="28"/>
      <c r="AG65" s="55"/>
      <c r="AH65" s="3"/>
      <c r="AJ65" s="5"/>
      <c r="AK65" s="2">
        <v>600</v>
      </c>
      <c r="AL65" s="7">
        <f t="shared" si="1"/>
        <v>0.111</v>
      </c>
      <c r="AM65" s="8">
        <f t="shared" si="2"/>
        <v>7.5999999999999998E-2</v>
      </c>
      <c r="AN65" s="56">
        <f t="shared" si="3"/>
        <v>2.0399999999999998E-2</v>
      </c>
      <c r="AO65" s="9">
        <f t="shared" si="4"/>
        <v>3.8599999999999995E-2</v>
      </c>
      <c r="AP65" s="5"/>
      <c r="AQ65" s="91"/>
      <c r="AR65" s="5"/>
      <c r="AS65" s="96"/>
      <c r="AT65" s="5"/>
      <c r="AU65" s="30"/>
      <c r="AV65" s="31"/>
      <c r="AW65" s="32"/>
      <c r="AX65" s="147"/>
      <c r="BN65" s="5"/>
      <c r="BO65">
        <f t="shared" si="11"/>
        <v>0.63516250000000007</v>
      </c>
      <c r="BP65">
        <f t="shared" si="12"/>
        <v>1.1943250000000001</v>
      </c>
      <c r="BQ65">
        <f t="shared" si="13"/>
        <v>0.82155</v>
      </c>
      <c r="BR65">
        <f t="shared" si="14"/>
        <v>0.44877499999999998</v>
      </c>
      <c r="BS65" s="28"/>
      <c r="BT65" s="91"/>
      <c r="BU65" s="28"/>
      <c r="BV65" s="91"/>
      <c r="BW65" s="4" t="str">
        <f t="shared" si="5"/>
        <v>224 (2)</v>
      </c>
    </row>
    <row r="66" spans="1:75" thickTop="1" thickBot="1" x14ac:dyDescent="0.3">
      <c r="A66" s="15">
        <v>122</v>
      </c>
      <c r="B66" s="16">
        <v>13</v>
      </c>
      <c r="C66" s="16">
        <v>2</v>
      </c>
      <c r="D66" s="17"/>
      <c r="E66" s="1">
        <v>69</v>
      </c>
      <c r="F66" s="1">
        <v>-65</v>
      </c>
      <c r="G66" s="18">
        <f t="shared" si="6"/>
        <v>134</v>
      </c>
      <c r="H66" s="17"/>
      <c r="I66" s="19">
        <v>10</v>
      </c>
      <c r="J66" s="3">
        <f t="shared" si="15"/>
        <v>157.08022388059703</v>
      </c>
      <c r="K66" s="20">
        <f t="shared" si="8"/>
        <v>138</v>
      </c>
      <c r="L66" s="17"/>
      <c r="N66" s="17"/>
      <c r="O66" s="54">
        <v>0.15</v>
      </c>
      <c r="P66" s="9">
        <v>0.13</v>
      </c>
      <c r="Q66" s="17"/>
      <c r="R66" s="10">
        <v>240</v>
      </c>
      <c r="S66" s="11">
        <v>100</v>
      </c>
      <c r="T66" s="12">
        <v>8000</v>
      </c>
      <c r="U66" s="17"/>
      <c r="V66" s="7">
        <v>190</v>
      </c>
      <c r="W66" s="13">
        <f t="shared" ref="W66:W129" si="18">SQRT(0.1^2+0.1^2+1/V66)*100</f>
        <v>15.894388284780527</v>
      </c>
      <c r="Z66" s="13" t="e">
        <f t="shared" si="9"/>
        <v>#DIV/0!</v>
      </c>
      <c r="AB66">
        <v>10</v>
      </c>
      <c r="AC66">
        <v>10</v>
      </c>
      <c r="AE66" s="5">
        <f t="shared" si="10"/>
        <v>122</v>
      </c>
      <c r="AF66" s="8">
        <f>(O66*AB66+O67*AB67+O68*AB68)/100</f>
        <v>1.9400000000000001E-2</v>
      </c>
      <c r="AG66" s="56">
        <f>(P66*AC66+P67*AC67+P68*AC68)/100</f>
        <v>2.12E-2</v>
      </c>
      <c r="AH66" s="3">
        <f>225-5.625*($B66-0.5)</f>
        <v>154.6875</v>
      </c>
      <c r="AI66">
        <f>K66</f>
        <v>138</v>
      </c>
      <c r="AK66" s="2">
        <v>1000</v>
      </c>
      <c r="AL66" s="7">
        <f t="shared" ref="AL66:AL129" si="19">AK66*R66*0.000001</f>
        <v>0.24</v>
      </c>
      <c r="AM66" s="8">
        <f t="shared" ref="AM66:AM129" si="20">O66-AL66</f>
        <v>-0.09</v>
      </c>
      <c r="AN66" s="56">
        <f t="shared" ref="AN66:AN129" si="21">S66*AK66*0.000001</f>
        <v>9.9999999999999992E-2</v>
      </c>
      <c r="AO66" s="9">
        <f t="shared" ref="AO66:AO129" si="22">P66-AN66</f>
        <v>3.0000000000000013E-2</v>
      </c>
      <c r="AQ66" s="90">
        <f>($AB66*AM66+$AB67*AM67+$AB68*AM68)/100</f>
        <v>-1.3399999999999999E-2</v>
      </c>
      <c r="AS66" s="95">
        <f>($AB66*AO66+$AB67*AO67+$AB68*AO68)/100</f>
        <v>2.4000000000000024E-3</v>
      </c>
      <c r="AU66" s="10">
        <f>($AB66*R66+$AB67*R67+$AB68*R68)/100</f>
        <v>32</v>
      </c>
      <c r="AV66" s="11">
        <f>($AB66*S66+$AB67*S67+$AB68*S68)/100</f>
        <v>151.6</v>
      </c>
      <c r="AW66" s="12">
        <f>($AB66*T66+$AB67*T67+$AB68*T68)/100</f>
        <v>4143</v>
      </c>
      <c r="AX66" s="147">
        <f>($AB66*AK66+$AB67*AK67+$AB68*AK68)/100</f>
        <v>210</v>
      </c>
      <c r="BO66">
        <f t="shared" si="11"/>
        <v>0.63539999999999996</v>
      </c>
      <c r="BP66">
        <f t="shared" ref="BP66:BP129" si="23">(31*3*10*6.5-$AK66)*$R66/(1000000)+$O66</f>
        <v>1.3608</v>
      </c>
      <c r="BQ66">
        <f t="shared" si="13"/>
        <v>0.87719999999999998</v>
      </c>
      <c r="BR66">
        <f t="shared" si="14"/>
        <v>0.39360000000000001</v>
      </c>
      <c r="BS66" s="8">
        <f>($AB66*BO66+$AB67*BO67+$AB68*BO68)/100</f>
        <v>8.3319999999999991E-2</v>
      </c>
      <c r="BT66" s="90">
        <f>($AB66*BP66+$AB67*BP67+$AB68*BP68)/100</f>
        <v>0.18004000000000001</v>
      </c>
      <c r="BU66" s="8">
        <f>($AB66*BQ66+$AB67*BQ67+$AB68*BQ68)/100</f>
        <v>0.11556000000000001</v>
      </c>
      <c r="BV66" s="90">
        <f>($AB66*BR66+$AB67*BR67+$AB68*BR68)/100</f>
        <v>5.1079999999999993E-2</v>
      </c>
      <c r="BW66" s="4">
        <f t="shared" ref="BW66:BW129" si="24">A66</f>
        <v>122</v>
      </c>
    </row>
    <row r="67" spans="1:75" thickTop="1" thickBot="1" x14ac:dyDescent="0.3">
      <c r="A67" s="4">
        <v>122</v>
      </c>
      <c r="B67" s="93">
        <v>13</v>
      </c>
      <c r="C67" s="93">
        <v>2</v>
      </c>
      <c r="E67" s="1">
        <v>69</v>
      </c>
      <c r="F67" s="1">
        <v>-65</v>
      </c>
      <c r="G67" s="3">
        <f t="shared" ref="G67:G130" si="25">E67-F67</f>
        <v>134</v>
      </c>
      <c r="I67" s="2">
        <v>67</v>
      </c>
      <c r="J67" s="3">
        <f t="shared" si="15"/>
        <v>154.6875</v>
      </c>
      <c r="K67" s="6">
        <f t="shared" ref="K67:K130" si="26">120+12*(C67-0.5)</f>
        <v>138</v>
      </c>
      <c r="O67" s="8">
        <v>0</v>
      </c>
      <c r="P67" s="9">
        <v>0</v>
      </c>
      <c r="R67" s="10">
        <v>0</v>
      </c>
      <c r="S67" s="11">
        <v>167</v>
      </c>
      <c r="T67" s="12">
        <v>4000</v>
      </c>
      <c r="V67" s="7">
        <v>0</v>
      </c>
      <c r="W67" s="13" t="e">
        <f t="shared" si="18"/>
        <v>#DIV/0!</v>
      </c>
      <c r="Z67" s="13" t="e">
        <f t="shared" ref="Z67:Z130" si="27">SQRT(0.1^2+0.1^2+1/Y67)</f>
        <v>#DIV/0!</v>
      </c>
      <c r="AB67">
        <v>80</v>
      </c>
      <c r="AC67">
        <v>80</v>
      </c>
      <c r="AE67" s="5">
        <f t="shared" ref="AE67:AE130" si="28">A67</f>
        <v>122</v>
      </c>
      <c r="AG67" s="56"/>
      <c r="AK67" s="2">
        <v>0</v>
      </c>
      <c r="AL67" s="7">
        <f t="shared" si="19"/>
        <v>0</v>
      </c>
      <c r="AM67" s="8">
        <f t="shared" si="20"/>
        <v>0</v>
      </c>
      <c r="AN67" s="56">
        <f t="shared" si="21"/>
        <v>0</v>
      </c>
      <c r="AO67" s="9">
        <f t="shared" si="22"/>
        <v>0</v>
      </c>
      <c r="AX67" s="147"/>
      <c r="BO67">
        <f t="shared" ref="BO67:BO130" si="29">(31*1.5*10*6.5-AK67)*R67/(1000000)+O67</f>
        <v>0</v>
      </c>
      <c r="BP67">
        <f t="shared" si="23"/>
        <v>0</v>
      </c>
      <c r="BQ67">
        <f t="shared" ref="BQ67:BQ130" si="30">(31*2*10*6.5-$AK67)*$R67/(1000000)+$O67</f>
        <v>0</v>
      </c>
      <c r="BR67">
        <f t="shared" ref="BR67:BR130" si="31">(31*10*6.5-$AK67)*$R67/(1000000)+$O67</f>
        <v>0</v>
      </c>
      <c r="BS67" s="8"/>
      <c r="BT67" s="90"/>
      <c r="BU67" s="8"/>
      <c r="BV67" s="90"/>
      <c r="BW67" s="4">
        <f t="shared" si="24"/>
        <v>122</v>
      </c>
    </row>
    <row r="68" spans="1:75" s="27" customFormat="1" thickTop="1" thickBot="1" x14ac:dyDescent="0.3">
      <c r="A68" s="21">
        <v>122</v>
      </c>
      <c r="B68" s="22">
        <v>13</v>
      </c>
      <c r="C68" s="22">
        <v>2</v>
      </c>
      <c r="D68" s="23"/>
      <c r="E68" s="24">
        <v>69</v>
      </c>
      <c r="F68" s="24">
        <v>-65</v>
      </c>
      <c r="G68" s="25">
        <f t="shared" si="25"/>
        <v>134</v>
      </c>
      <c r="H68" s="23"/>
      <c r="I68" s="22">
        <v>124</v>
      </c>
      <c r="J68" s="3">
        <f t="shared" si="15"/>
        <v>152.29477611940297</v>
      </c>
      <c r="K68" s="26">
        <f t="shared" si="26"/>
        <v>138</v>
      </c>
      <c r="L68" s="23"/>
      <c r="N68" s="23"/>
      <c r="O68" s="28">
        <v>4.3999999999999997E-2</v>
      </c>
      <c r="P68" s="29">
        <v>8.2000000000000003E-2</v>
      </c>
      <c r="Q68" s="23"/>
      <c r="R68" s="30">
        <v>80</v>
      </c>
      <c r="S68" s="31">
        <v>80</v>
      </c>
      <c r="T68" s="32">
        <v>1430</v>
      </c>
      <c r="U68" s="23"/>
      <c r="V68" s="33">
        <v>0</v>
      </c>
      <c r="W68" s="75" t="e">
        <f t="shared" si="18"/>
        <v>#DIV/0!</v>
      </c>
      <c r="X68" s="5"/>
      <c r="Y68" s="56"/>
      <c r="Z68" s="13" t="e">
        <f t="shared" si="27"/>
        <v>#DIV/0!</v>
      </c>
      <c r="AB68" s="27">
        <v>10</v>
      </c>
      <c r="AC68" s="27">
        <v>10</v>
      </c>
      <c r="AE68" s="5">
        <f t="shared" si="28"/>
        <v>122</v>
      </c>
      <c r="AF68" s="28"/>
      <c r="AG68" s="55"/>
      <c r="AH68" s="3"/>
      <c r="AJ68" s="5"/>
      <c r="AK68" s="2">
        <v>1100</v>
      </c>
      <c r="AL68" s="7">
        <f t="shared" si="19"/>
        <v>8.7999999999999995E-2</v>
      </c>
      <c r="AM68" s="8">
        <f t="shared" si="20"/>
        <v>-4.3999999999999997E-2</v>
      </c>
      <c r="AN68" s="56">
        <f t="shared" si="21"/>
        <v>8.7999999999999995E-2</v>
      </c>
      <c r="AO68" s="9">
        <f t="shared" si="22"/>
        <v>-5.9999999999999915E-3</v>
      </c>
      <c r="AP68" s="5"/>
      <c r="AQ68" s="91"/>
      <c r="AR68" s="5"/>
      <c r="AS68" s="96"/>
      <c r="AT68" s="5"/>
      <c r="AU68" s="30"/>
      <c r="AV68" s="31"/>
      <c r="AW68" s="32"/>
      <c r="AX68" s="147"/>
      <c r="BN68" s="5"/>
      <c r="BO68">
        <f t="shared" si="29"/>
        <v>0.19779999999999998</v>
      </c>
      <c r="BP68">
        <f t="shared" si="23"/>
        <v>0.43959999999999999</v>
      </c>
      <c r="BQ68">
        <f t="shared" si="30"/>
        <v>0.27839999999999998</v>
      </c>
      <c r="BR68">
        <f t="shared" si="31"/>
        <v>0.1172</v>
      </c>
      <c r="BS68" s="28"/>
      <c r="BT68" s="91"/>
      <c r="BU68" s="28"/>
      <c r="BV68" s="91"/>
      <c r="BW68" s="4">
        <f t="shared" si="24"/>
        <v>122</v>
      </c>
    </row>
    <row r="69" spans="1:75" thickTop="1" thickBot="1" x14ac:dyDescent="0.3">
      <c r="A69" s="15">
        <v>124</v>
      </c>
      <c r="B69" s="16">
        <v>13</v>
      </c>
      <c r="C69" s="16">
        <v>4</v>
      </c>
      <c r="D69" s="17"/>
      <c r="E69" s="1">
        <v>61</v>
      </c>
      <c r="F69" s="1">
        <v>-63</v>
      </c>
      <c r="G69" s="18">
        <f t="shared" si="25"/>
        <v>124</v>
      </c>
      <c r="H69" s="17"/>
      <c r="I69" s="19">
        <v>10</v>
      </c>
      <c r="J69" s="3">
        <f t="shared" si="15"/>
        <v>157.04637096774195</v>
      </c>
      <c r="K69" s="20">
        <f t="shared" si="26"/>
        <v>162</v>
      </c>
      <c r="L69" s="17"/>
      <c r="N69" s="17"/>
      <c r="O69" s="8">
        <v>0.13500000000000001</v>
      </c>
      <c r="P69" s="9">
        <v>4.2999999999999997E-2</v>
      </c>
      <c r="Q69" s="17"/>
      <c r="R69" s="10">
        <v>110</v>
      </c>
      <c r="S69" s="11">
        <v>18</v>
      </c>
      <c r="T69" s="12">
        <v>1300</v>
      </c>
      <c r="U69" s="17"/>
      <c r="V69" s="7">
        <v>120</v>
      </c>
      <c r="W69" s="13">
        <f t="shared" si="18"/>
        <v>16.832508230603462</v>
      </c>
      <c r="Z69" s="13" t="e">
        <f t="shared" si="27"/>
        <v>#DIV/0!</v>
      </c>
      <c r="AB69" s="72">
        <v>20</v>
      </c>
      <c r="AC69" s="72">
        <v>20</v>
      </c>
      <c r="AE69" s="5">
        <f t="shared" si="28"/>
        <v>124</v>
      </c>
      <c r="AF69" s="8">
        <f>(O69*AB69+O70*AB70+O71*AB71)/100</f>
        <v>0.21869999999999998</v>
      </c>
      <c r="AG69" s="56">
        <f>(P69*AC69+P70*AC70+P71*AC71)/100</f>
        <v>0.13510000000000003</v>
      </c>
      <c r="AH69" s="3">
        <f>225-5.625*($B69-0.5)</f>
        <v>154.6875</v>
      </c>
      <c r="AI69">
        <f>K69</f>
        <v>162</v>
      </c>
      <c r="AK69" s="2">
        <v>600</v>
      </c>
      <c r="AL69" s="7">
        <f t="shared" si="19"/>
        <v>6.6000000000000003E-2</v>
      </c>
      <c r="AM69" s="8">
        <f t="shared" si="20"/>
        <v>6.9000000000000006E-2</v>
      </c>
      <c r="AN69" s="56">
        <f t="shared" si="21"/>
        <v>1.0799999999999999E-2</v>
      </c>
      <c r="AO69" s="9">
        <f t="shared" si="22"/>
        <v>3.2199999999999999E-2</v>
      </c>
      <c r="AQ69" s="90">
        <f>($AB69*AM69+$AB70*AM70+$AB71*AM71)/100</f>
        <v>-8.4300000000000014E-2</v>
      </c>
      <c r="AS69" s="95">
        <f>($AB69*AO69+$AB70*AO70+$AB71*AO71)/100</f>
        <v>6.4510000000000012E-2</v>
      </c>
      <c r="AU69" s="10">
        <f>($AB69*R69+$AB70*R70+$AB71*R71)/100</f>
        <v>230</v>
      </c>
      <c r="AV69" s="11">
        <f>($AB69*S69+$AB70*S70+$AB71*S71)/100</f>
        <v>52.65</v>
      </c>
      <c r="AW69" s="12">
        <f>($AB69*T69+$AB70*T70+$AB71*T71)/100</f>
        <v>4790</v>
      </c>
      <c r="AX69" s="147">
        <f>($AB69*AK69+$AB70*AK70+$AB71*AK71)/100</f>
        <v>1200</v>
      </c>
      <c r="BO69">
        <f t="shared" si="29"/>
        <v>0.40147500000000003</v>
      </c>
      <c r="BP69">
        <f t="shared" si="23"/>
        <v>0.73394999999999999</v>
      </c>
      <c r="BQ69">
        <f t="shared" si="30"/>
        <v>0.51229999999999998</v>
      </c>
      <c r="BR69">
        <f t="shared" si="31"/>
        <v>0.29065000000000002</v>
      </c>
      <c r="BS69" s="8">
        <f>($AB69*BO69+$AB70*BO70+$AB71*BO71)/100</f>
        <v>0.61087499999999995</v>
      </c>
      <c r="BT69" s="90">
        <f>($AB69*BP69+$AB70*BP70+$AB71*BP71)/100</f>
        <v>1.3060499999999999</v>
      </c>
      <c r="BU69" s="8">
        <f>($AB69*BQ69+$AB70*BQ70+$AB71*BQ71)/100</f>
        <v>0.8425999999999999</v>
      </c>
      <c r="BV69" s="90">
        <f>($AB69*BR69+$AB70*BR70+$AB71*BR71)/100</f>
        <v>0.37914999999999999</v>
      </c>
      <c r="BW69" s="4">
        <f t="shared" si="24"/>
        <v>124</v>
      </c>
    </row>
    <row r="70" spans="1:75" thickTop="1" thickBot="1" x14ac:dyDescent="0.3">
      <c r="A70" s="4">
        <v>124</v>
      </c>
      <c r="B70" s="93">
        <v>13</v>
      </c>
      <c r="C70" s="93">
        <v>4</v>
      </c>
      <c r="E70" s="1">
        <v>61</v>
      </c>
      <c r="F70" s="1">
        <v>-63</v>
      </c>
      <c r="G70" s="3">
        <f t="shared" si="25"/>
        <v>124</v>
      </c>
      <c r="I70" s="2">
        <v>62</v>
      </c>
      <c r="J70" s="3">
        <f t="shared" si="15"/>
        <v>154.6875</v>
      </c>
      <c r="K70" s="6">
        <f t="shared" si="26"/>
        <v>162</v>
      </c>
      <c r="O70" s="54">
        <v>0.252</v>
      </c>
      <c r="P70" s="9">
        <v>0.16800000000000001</v>
      </c>
      <c r="R70" s="10">
        <v>275</v>
      </c>
      <c r="S70" s="11">
        <v>65</v>
      </c>
      <c r="T70" s="12">
        <v>6000</v>
      </c>
      <c r="V70" s="7">
        <v>0</v>
      </c>
      <c r="W70" s="13" t="e">
        <f t="shared" si="18"/>
        <v>#DIV/0!</v>
      </c>
      <c r="Z70" s="13" t="e">
        <f t="shared" si="27"/>
        <v>#DIV/0!</v>
      </c>
      <c r="AB70" s="72">
        <v>75</v>
      </c>
      <c r="AC70" s="72">
        <v>75</v>
      </c>
      <c r="AE70" s="5">
        <f t="shared" si="28"/>
        <v>124</v>
      </c>
      <c r="AG70" s="56"/>
      <c r="AK70" s="2">
        <v>1400</v>
      </c>
      <c r="AL70" s="7">
        <f t="shared" si="19"/>
        <v>0.38500000000000001</v>
      </c>
      <c r="AM70" s="8">
        <f t="shared" si="20"/>
        <v>-0.13300000000000001</v>
      </c>
      <c r="AN70" s="56">
        <f t="shared" si="21"/>
        <v>9.0999999999999998E-2</v>
      </c>
      <c r="AO70" s="9">
        <f t="shared" si="22"/>
        <v>7.7000000000000013E-2</v>
      </c>
      <c r="AX70" s="147"/>
      <c r="BO70">
        <f t="shared" si="29"/>
        <v>0.69818749999999996</v>
      </c>
      <c r="BP70">
        <f t="shared" si="23"/>
        <v>1.5293749999999999</v>
      </c>
      <c r="BQ70">
        <f t="shared" si="30"/>
        <v>0.97524999999999995</v>
      </c>
      <c r="BR70">
        <f t="shared" si="31"/>
        <v>0.42112499999999997</v>
      </c>
      <c r="BS70" s="8"/>
      <c r="BT70" s="90"/>
      <c r="BU70" s="8"/>
      <c r="BV70" s="90"/>
      <c r="BW70" s="4">
        <f t="shared" si="24"/>
        <v>124</v>
      </c>
    </row>
    <row r="71" spans="1:75" s="27" customFormat="1" thickTop="1" thickBot="1" x14ac:dyDescent="0.3">
      <c r="A71" s="21">
        <v>124</v>
      </c>
      <c r="B71" s="22">
        <v>13</v>
      </c>
      <c r="C71" s="22">
        <v>4</v>
      </c>
      <c r="D71" s="23"/>
      <c r="E71" s="24">
        <v>61</v>
      </c>
      <c r="F71" s="24">
        <v>-63</v>
      </c>
      <c r="G71" s="25">
        <f t="shared" si="25"/>
        <v>124</v>
      </c>
      <c r="H71" s="23"/>
      <c r="I71" s="22">
        <v>114</v>
      </c>
      <c r="J71" s="3">
        <f t="shared" si="15"/>
        <v>152.32862903225805</v>
      </c>
      <c r="K71" s="26">
        <f t="shared" si="26"/>
        <v>162</v>
      </c>
      <c r="L71" s="23"/>
      <c r="N71" s="23"/>
      <c r="O71" s="28">
        <v>5.3999999999999999E-2</v>
      </c>
      <c r="P71" s="29">
        <v>0.01</v>
      </c>
      <c r="Q71" s="23"/>
      <c r="R71" s="30">
        <v>35</v>
      </c>
      <c r="S71" s="31">
        <v>6</v>
      </c>
      <c r="T71" s="32">
        <v>600</v>
      </c>
      <c r="U71" s="23"/>
      <c r="V71" s="33">
        <v>58</v>
      </c>
      <c r="W71" s="75">
        <f t="shared" si="18"/>
        <v>19.29802562708031</v>
      </c>
      <c r="X71" s="5"/>
      <c r="Y71" s="56"/>
      <c r="Z71" s="13" t="e">
        <f t="shared" si="27"/>
        <v>#DIV/0!</v>
      </c>
      <c r="AB71" s="27">
        <v>5</v>
      </c>
      <c r="AC71" s="27">
        <v>5</v>
      </c>
      <c r="AE71" s="5">
        <f t="shared" si="28"/>
        <v>124</v>
      </c>
      <c r="AF71" s="28"/>
      <c r="AG71" s="55"/>
      <c r="AH71" s="3"/>
      <c r="AJ71" s="5"/>
      <c r="AK71" s="2">
        <v>600</v>
      </c>
      <c r="AL71" s="7">
        <f t="shared" si="19"/>
        <v>2.0999999999999998E-2</v>
      </c>
      <c r="AM71" s="8">
        <f t="shared" si="20"/>
        <v>3.3000000000000002E-2</v>
      </c>
      <c r="AN71" s="56">
        <f t="shared" si="21"/>
        <v>3.5999999999999999E-3</v>
      </c>
      <c r="AO71" s="9">
        <f t="shared" si="22"/>
        <v>6.4000000000000003E-3</v>
      </c>
      <c r="AP71" s="5"/>
      <c r="AQ71" s="91"/>
      <c r="AR71" s="5"/>
      <c r="AS71" s="96"/>
      <c r="AT71" s="5"/>
      <c r="AU71" s="30"/>
      <c r="AV71" s="31"/>
      <c r="AW71" s="32"/>
      <c r="AX71" s="147"/>
      <c r="BN71" s="5"/>
      <c r="BO71">
        <f t="shared" si="29"/>
        <v>0.13878750000000001</v>
      </c>
      <c r="BP71">
        <f t="shared" si="23"/>
        <v>0.24457499999999999</v>
      </c>
      <c r="BQ71">
        <f t="shared" si="30"/>
        <v>0.17405000000000001</v>
      </c>
      <c r="BR71">
        <f t="shared" si="31"/>
        <v>0.10352500000000001</v>
      </c>
      <c r="BS71" s="28"/>
      <c r="BT71" s="91"/>
      <c r="BU71" s="28"/>
      <c r="BV71" s="91"/>
      <c r="BW71" s="4">
        <f t="shared" si="24"/>
        <v>124</v>
      </c>
    </row>
    <row r="72" spans="1:75" thickTop="1" thickBot="1" x14ac:dyDescent="0.3">
      <c r="A72" s="15">
        <v>126</v>
      </c>
      <c r="B72" s="16">
        <v>13</v>
      </c>
      <c r="C72" s="16">
        <v>6</v>
      </c>
      <c r="D72" s="17"/>
      <c r="E72" s="1">
        <v>58</v>
      </c>
      <c r="F72" s="1">
        <v>-59</v>
      </c>
      <c r="G72" s="18">
        <f t="shared" si="25"/>
        <v>117</v>
      </c>
      <c r="H72" s="17"/>
      <c r="I72" s="19">
        <v>10</v>
      </c>
      <c r="J72" s="3">
        <f t="shared" si="15"/>
        <v>157.01923076923077</v>
      </c>
      <c r="K72" s="20">
        <f t="shared" si="26"/>
        <v>186</v>
      </c>
      <c r="L72" s="17"/>
      <c r="N72" s="17"/>
      <c r="O72" s="54">
        <v>6.3E-2</v>
      </c>
      <c r="P72" s="9">
        <v>1.6E-2</v>
      </c>
      <c r="Q72" s="17"/>
      <c r="R72" s="10">
        <v>101</v>
      </c>
      <c r="S72" s="11">
        <v>10</v>
      </c>
      <c r="T72" s="12">
        <v>1800</v>
      </c>
      <c r="U72" s="17"/>
      <c r="V72" s="7">
        <v>0</v>
      </c>
      <c r="W72" s="13" t="e">
        <f t="shared" si="18"/>
        <v>#DIV/0!</v>
      </c>
      <c r="Z72" s="13" t="e">
        <f t="shared" si="27"/>
        <v>#DIV/0!</v>
      </c>
      <c r="AB72" s="72">
        <v>15</v>
      </c>
      <c r="AC72" s="72">
        <v>15</v>
      </c>
      <c r="AE72" s="5">
        <f t="shared" si="28"/>
        <v>126</v>
      </c>
      <c r="AF72" s="8">
        <f>(O72*AB72+O73*AB73+O74*AB74)/100</f>
        <v>7.0349999999999996E-2</v>
      </c>
      <c r="AG72" s="56">
        <f>(P72*AC72+P73*AC73+P74*AC74)/100</f>
        <v>2.64E-2</v>
      </c>
      <c r="AH72" s="3">
        <f>225-5.625*($B72-0.5)</f>
        <v>154.6875</v>
      </c>
      <c r="AI72">
        <f>K72</f>
        <v>186</v>
      </c>
      <c r="AK72" s="2">
        <v>600</v>
      </c>
      <c r="AL72" s="7">
        <f t="shared" si="19"/>
        <v>6.0599999999999994E-2</v>
      </c>
      <c r="AM72" s="8">
        <f t="shared" si="20"/>
        <v>2.4000000000000063E-3</v>
      </c>
      <c r="AN72" s="56">
        <f t="shared" si="21"/>
        <v>6.0000000000000001E-3</v>
      </c>
      <c r="AO72" s="9">
        <f t="shared" si="22"/>
        <v>0.01</v>
      </c>
      <c r="AQ72" s="90">
        <f>($AB72*AM72+$AB73*AM73+$AB74*AM74)/100</f>
        <v>-5.8799999999999963E-3</v>
      </c>
      <c r="AS72" s="95">
        <f>($AB72*AO72+$AB73*AO73+$AB74*AO74)/100</f>
        <v>9.1799999999999989E-3</v>
      </c>
      <c r="AU72" s="10">
        <f>($AB72*R72+$AB73*R73+$AB74*R74)/100</f>
        <v>179.55</v>
      </c>
      <c r="AV72" s="11">
        <f>($AB72*S72+$AB73*S73+$AB74*S74)/100</f>
        <v>41.7</v>
      </c>
      <c r="AW72" s="12">
        <f>($AB72*T72+$AB73*T73+$AB74*T74)/100</f>
        <v>1870</v>
      </c>
      <c r="AX72" s="147">
        <f>($AB72*AK72+$AB73*AK73+$AB74*AK74)/100</f>
        <v>450</v>
      </c>
      <c r="BO72">
        <f t="shared" si="29"/>
        <v>0.30767250000000002</v>
      </c>
      <c r="BP72">
        <f t="shared" si="23"/>
        <v>0.61294500000000007</v>
      </c>
      <c r="BQ72">
        <f t="shared" si="30"/>
        <v>0.40943000000000002</v>
      </c>
      <c r="BR72">
        <f t="shared" si="31"/>
        <v>0.20591499999999999</v>
      </c>
      <c r="BS72" s="8">
        <f>($AB72*BO72+$AB73*BO73+$AB74*BO74)/100</f>
        <v>0.53680987499999999</v>
      </c>
      <c r="BT72" s="90">
        <f>($AB72*BP72+$AB73*BP73+$AB74*BP74)/100</f>
        <v>1.0794997500000001</v>
      </c>
      <c r="BU72" s="8">
        <f>($AB72*BQ72+$AB73*BQ73+$AB74*BQ74)/100</f>
        <v>0.71770650000000002</v>
      </c>
      <c r="BV72" s="90">
        <f>($AB72*BR72+$AB73*BR73+$AB74*BR74)/100</f>
        <v>0.35591324999999996</v>
      </c>
      <c r="BW72" s="4">
        <f t="shared" si="24"/>
        <v>126</v>
      </c>
    </row>
    <row r="73" spans="1:75" thickTop="1" thickBot="1" x14ac:dyDescent="0.3">
      <c r="A73" s="4">
        <v>126</v>
      </c>
      <c r="B73" s="93">
        <v>13</v>
      </c>
      <c r="C73" s="93">
        <v>6</v>
      </c>
      <c r="E73" s="1">
        <v>58</v>
      </c>
      <c r="F73" s="1">
        <v>-59</v>
      </c>
      <c r="G73" s="3">
        <f t="shared" si="25"/>
        <v>117</v>
      </c>
      <c r="I73" s="2">
        <v>59</v>
      </c>
      <c r="J73" s="3">
        <f t="shared" si="15"/>
        <v>154.66346153846155</v>
      </c>
      <c r="K73" s="6">
        <f t="shared" si="26"/>
        <v>186</v>
      </c>
      <c r="O73" s="54">
        <v>7.1999999999999995E-2</v>
      </c>
      <c r="P73" s="9">
        <v>0.03</v>
      </c>
      <c r="R73" s="10">
        <v>210</v>
      </c>
      <c r="S73" s="11">
        <v>52</v>
      </c>
      <c r="T73" s="12">
        <v>2000</v>
      </c>
      <c r="V73" s="7">
        <v>0</v>
      </c>
      <c r="W73" s="13" t="e">
        <f t="shared" si="18"/>
        <v>#DIV/0!</v>
      </c>
      <c r="Z73" s="13" t="e">
        <f t="shared" si="27"/>
        <v>#DIV/0!</v>
      </c>
      <c r="AB73" s="72">
        <v>75</v>
      </c>
      <c r="AC73" s="72">
        <v>75</v>
      </c>
      <c r="AE73" s="5">
        <f t="shared" si="28"/>
        <v>126</v>
      </c>
      <c r="AG73" s="56"/>
      <c r="AK73" s="2">
        <v>400</v>
      </c>
      <c r="AL73" s="7">
        <f t="shared" si="19"/>
        <v>8.3999999999999991E-2</v>
      </c>
      <c r="AM73" s="8">
        <f t="shared" si="20"/>
        <v>-1.1999999999999997E-2</v>
      </c>
      <c r="AN73" s="56">
        <f t="shared" si="21"/>
        <v>2.0799999999999999E-2</v>
      </c>
      <c r="AO73" s="9">
        <f t="shared" si="22"/>
        <v>9.1999999999999998E-3</v>
      </c>
      <c r="AX73" s="147"/>
      <c r="BO73">
        <f t="shared" si="29"/>
        <v>0.62272499999999997</v>
      </c>
      <c r="BP73">
        <f t="shared" si="23"/>
        <v>1.25745</v>
      </c>
      <c r="BQ73">
        <f t="shared" si="30"/>
        <v>0.83429999999999993</v>
      </c>
      <c r="BR73">
        <f t="shared" si="31"/>
        <v>0.41115000000000002</v>
      </c>
      <c r="BS73" s="8"/>
      <c r="BT73" s="90"/>
      <c r="BU73" s="8"/>
      <c r="BV73" s="90"/>
      <c r="BW73" s="4">
        <f t="shared" si="24"/>
        <v>126</v>
      </c>
    </row>
    <row r="74" spans="1:75" s="27" customFormat="1" thickTop="1" thickBot="1" x14ac:dyDescent="0.3">
      <c r="A74" s="21">
        <v>126</v>
      </c>
      <c r="B74" s="22">
        <v>13</v>
      </c>
      <c r="C74" s="22">
        <v>6</v>
      </c>
      <c r="D74" s="23"/>
      <c r="E74" s="24">
        <v>58</v>
      </c>
      <c r="F74" s="24">
        <v>-59</v>
      </c>
      <c r="G74" s="25">
        <f t="shared" si="25"/>
        <v>117</v>
      </c>
      <c r="H74" s="23"/>
      <c r="I74" s="22">
        <v>107</v>
      </c>
      <c r="J74" s="3">
        <f t="shared" si="15"/>
        <v>152.35576923076923</v>
      </c>
      <c r="K74" s="26">
        <f t="shared" si="26"/>
        <v>186</v>
      </c>
      <c r="L74" s="23"/>
      <c r="N74" s="23"/>
      <c r="O74" s="28">
        <v>6.9000000000000006E-2</v>
      </c>
      <c r="P74" s="29">
        <v>1.4999999999999999E-2</v>
      </c>
      <c r="Q74" s="23"/>
      <c r="R74" s="30">
        <v>69</v>
      </c>
      <c r="S74" s="31">
        <v>12</v>
      </c>
      <c r="T74" s="32">
        <v>1000</v>
      </c>
      <c r="U74" s="23"/>
      <c r="V74" s="33">
        <v>80</v>
      </c>
      <c r="W74" s="75">
        <f t="shared" si="18"/>
        <v>18.027756377319946</v>
      </c>
      <c r="X74" s="5"/>
      <c r="Y74" s="56"/>
      <c r="Z74" s="13" t="e">
        <f t="shared" si="27"/>
        <v>#DIV/0!</v>
      </c>
      <c r="AB74" s="27">
        <v>10</v>
      </c>
      <c r="AC74" s="27">
        <v>10</v>
      </c>
      <c r="AE74" s="5">
        <f t="shared" si="28"/>
        <v>126</v>
      </c>
      <c r="AF74" s="28"/>
      <c r="AG74" s="55"/>
      <c r="AH74" s="3"/>
      <c r="AJ74" s="5"/>
      <c r="AK74" s="2">
        <v>600</v>
      </c>
      <c r="AL74" s="7">
        <f t="shared" si="19"/>
        <v>4.1399999999999999E-2</v>
      </c>
      <c r="AM74" s="8">
        <f t="shared" si="20"/>
        <v>2.7600000000000006E-2</v>
      </c>
      <c r="AN74" s="56">
        <f t="shared" si="21"/>
        <v>7.1999999999999998E-3</v>
      </c>
      <c r="AO74" s="9">
        <f t="shared" si="22"/>
        <v>7.7999999999999996E-3</v>
      </c>
      <c r="AP74" s="5"/>
      <c r="AQ74" s="91"/>
      <c r="AR74" s="5"/>
      <c r="AS74" s="96"/>
      <c r="AT74" s="5"/>
      <c r="AU74" s="30"/>
      <c r="AV74" s="31"/>
      <c r="AW74" s="32"/>
      <c r="AX74" s="147"/>
      <c r="BN74" s="5"/>
      <c r="BO74">
        <f t="shared" si="29"/>
        <v>0.23615250000000002</v>
      </c>
      <c r="BP74">
        <f t="shared" si="23"/>
        <v>0.44470500000000002</v>
      </c>
      <c r="BQ74">
        <f t="shared" si="30"/>
        <v>0.30567</v>
      </c>
      <c r="BR74">
        <f t="shared" si="31"/>
        <v>0.16663500000000001</v>
      </c>
      <c r="BS74" s="28"/>
      <c r="BT74" s="91"/>
      <c r="BU74" s="28"/>
      <c r="BV74" s="91"/>
      <c r="BW74" s="4">
        <f t="shared" si="24"/>
        <v>126</v>
      </c>
    </row>
    <row r="75" spans="1:75" thickTop="1" thickBot="1" x14ac:dyDescent="0.3">
      <c r="A75" s="15">
        <v>128</v>
      </c>
      <c r="B75" s="16">
        <v>13</v>
      </c>
      <c r="C75" s="16">
        <v>8</v>
      </c>
      <c r="D75" s="17"/>
      <c r="E75" s="1">
        <v>66</v>
      </c>
      <c r="F75" s="1">
        <v>-62</v>
      </c>
      <c r="G75" s="18">
        <f t="shared" si="25"/>
        <v>128</v>
      </c>
      <c r="H75" s="17"/>
      <c r="I75" s="16">
        <v>10</v>
      </c>
      <c r="J75" s="3">
        <f>225-5.625*(B75-0.5-(I75-0.5*G75)/G75)</f>
        <v>152.314453125</v>
      </c>
      <c r="K75" s="20">
        <f t="shared" si="26"/>
        <v>210</v>
      </c>
      <c r="L75" s="17"/>
      <c r="N75" s="17"/>
      <c r="O75" s="8">
        <v>7.1999999999999995E-2</v>
      </c>
      <c r="P75" s="9">
        <v>6.6000000000000003E-2</v>
      </c>
      <c r="Q75" s="17"/>
      <c r="R75" s="10">
        <v>10</v>
      </c>
      <c r="S75" s="11">
        <v>30</v>
      </c>
      <c r="T75" s="12">
        <v>1300</v>
      </c>
      <c r="U75" s="17"/>
      <c r="V75" s="7">
        <v>27</v>
      </c>
      <c r="W75" s="13">
        <f t="shared" si="18"/>
        <v>23.882428066894086</v>
      </c>
      <c r="Z75" s="13" t="e">
        <f t="shared" si="27"/>
        <v>#DIV/0!</v>
      </c>
      <c r="AB75" s="72">
        <v>10</v>
      </c>
      <c r="AC75" s="72">
        <v>10</v>
      </c>
      <c r="AE75" s="5">
        <f t="shared" si="28"/>
        <v>128</v>
      </c>
      <c r="AF75" s="8">
        <f>(O75*AB75+O76*AB76+O77*AB77)/100</f>
        <v>0.111</v>
      </c>
      <c r="AG75" s="56">
        <f>(P75*AC75+P76*AC76+P77*AC77)/100</f>
        <v>7.9899999999999999E-2</v>
      </c>
      <c r="AH75" s="3">
        <f>225-5.625*($B75-0.5)</f>
        <v>154.6875</v>
      </c>
      <c r="AI75">
        <f>K75</f>
        <v>210</v>
      </c>
      <c r="AK75" s="2">
        <v>600</v>
      </c>
      <c r="AL75" s="7">
        <f t="shared" si="19"/>
        <v>6.0000000000000001E-3</v>
      </c>
      <c r="AM75" s="8">
        <f t="shared" si="20"/>
        <v>6.5999999999999989E-2</v>
      </c>
      <c r="AN75" s="56">
        <f t="shared" si="21"/>
        <v>1.7999999999999999E-2</v>
      </c>
      <c r="AO75" s="9">
        <f t="shared" si="22"/>
        <v>4.8000000000000001E-2</v>
      </c>
      <c r="AQ75" s="90">
        <f>($AB75*AM75+$AB76*AM76+$AB77*AM77)/100</f>
        <v>3.2119999999999996E-2</v>
      </c>
      <c r="AS75" s="95">
        <f>($AB75*AO75+$AB76*AO76+$AB77*AO77)/100</f>
        <v>2.9979999999999993E-2</v>
      </c>
      <c r="AU75" s="10">
        <f>($AB75*R75+$AB76*R76+$AB77*R77)/100</f>
        <v>100.8</v>
      </c>
      <c r="AV75" s="11">
        <f>($AB75*S75+$AB76*S76+$AB77*S77)/100</f>
        <v>64</v>
      </c>
      <c r="AW75" s="12">
        <f>($AB75*T75+$AB76*T76+$AB77*T77)/100</f>
        <v>2680</v>
      </c>
      <c r="AX75" s="147">
        <f>($AB75*AK75+$AB76*AK76+$AB77*AK77)/100</f>
        <v>760</v>
      </c>
      <c r="BO75">
        <f t="shared" si="29"/>
        <v>9.6224999999999991E-2</v>
      </c>
      <c r="BP75">
        <f t="shared" si="23"/>
        <v>0.12645000000000001</v>
      </c>
      <c r="BQ75">
        <f t="shared" si="30"/>
        <v>0.10629999999999999</v>
      </c>
      <c r="BR75">
        <f t="shared" si="31"/>
        <v>8.614999999999999E-2</v>
      </c>
      <c r="BS75" s="8">
        <f>($AB75*BO75+$AB76*BO76+$AB77*BO77)/100</f>
        <v>0.33678800000000003</v>
      </c>
      <c r="BT75" s="90">
        <f>($AB75*BP75+$AB76*BP76+$AB77*BP77)/100</f>
        <v>0.64145600000000003</v>
      </c>
      <c r="BU75" s="8">
        <f>($AB75*BQ75+$AB76*BQ76+$AB77*BQ77)/100</f>
        <v>0.43834400000000001</v>
      </c>
      <c r="BV75" s="90">
        <f>($AB75*BR75+$AB76*BR76+$AB77*BR77)/100</f>
        <v>0.235232</v>
      </c>
      <c r="BW75" s="4">
        <f t="shared" si="24"/>
        <v>128</v>
      </c>
    </row>
    <row r="76" spans="1:75" thickTop="1" thickBot="1" x14ac:dyDescent="0.3">
      <c r="A76" s="4">
        <v>128</v>
      </c>
      <c r="B76" s="93">
        <v>13</v>
      </c>
      <c r="C76" s="93">
        <v>8</v>
      </c>
      <c r="E76" s="1">
        <v>66</v>
      </c>
      <c r="F76" s="1">
        <v>-62</v>
      </c>
      <c r="G76" s="3">
        <f t="shared" si="25"/>
        <v>128</v>
      </c>
      <c r="I76" s="2">
        <v>64</v>
      </c>
      <c r="J76" s="3">
        <f>225-5.625*(B76-0.5-(I76-0.5*G76)/G76)</f>
        <v>154.6875</v>
      </c>
      <c r="K76" s="6">
        <f t="shared" si="26"/>
        <v>210</v>
      </c>
      <c r="O76" s="8">
        <v>0.12</v>
      </c>
      <c r="P76" s="9">
        <v>8.7999999999999995E-2</v>
      </c>
      <c r="R76" s="10">
        <v>115</v>
      </c>
      <c r="S76" s="11">
        <v>72</v>
      </c>
      <c r="T76" s="12">
        <v>3000</v>
      </c>
      <c r="V76" s="7">
        <v>70</v>
      </c>
      <c r="W76" s="13">
        <f t="shared" si="18"/>
        <v>18.51640199545103</v>
      </c>
      <c r="Z76" s="13" t="e">
        <f t="shared" si="27"/>
        <v>#DIV/0!</v>
      </c>
      <c r="AB76" s="72">
        <v>80</v>
      </c>
      <c r="AC76" s="72">
        <v>80</v>
      </c>
      <c r="AE76" s="5">
        <f t="shared" si="28"/>
        <v>128</v>
      </c>
      <c r="AG76" s="56"/>
      <c r="AK76" s="2">
        <v>800</v>
      </c>
      <c r="AL76" s="7">
        <f t="shared" si="19"/>
        <v>9.1999999999999998E-2</v>
      </c>
      <c r="AM76" s="8">
        <f t="shared" si="20"/>
        <v>2.7999999999999997E-2</v>
      </c>
      <c r="AN76" s="56">
        <f t="shared" si="21"/>
        <v>5.7599999999999998E-2</v>
      </c>
      <c r="AO76" s="9">
        <f t="shared" si="22"/>
        <v>3.0399999999999996E-2</v>
      </c>
      <c r="AX76" s="147"/>
      <c r="BO76">
        <f t="shared" si="29"/>
        <v>0.37558750000000002</v>
      </c>
      <c r="BP76">
        <f t="shared" si="23"/>
        <v>0.72317500000000001</v>
      </c>
      <c r="BQ76">
        <f t="shared" si="30"/>
        <v>0.49145</v>
      </c>
      <c r="BR76">
        <f t="shared" si="31"/>
        <v>0.25972499999999998</v>
      </c>
      <c r="BS76" s="8"/>
      <c r="BT76" s="90"/>
      <c r="BU76" s="8"/>
      <c r="BV76" s="90"/>
      <c r="BW76" s="4">
        <f t="shared" si="24"/>
        <v>128</v>
      </c>
    </row>
    <row r="77" spans="1:75" s="27" customFormat="1" thickTop="1" thickBot="1" x14ac:dyDescent="0.3">
      <c r="A77" s="21">
        <v>128</v>
      </c>
      <c r="B77" s="22">
        <v>13</v>
      </c>
      <c r="C77" s="22">
        <v>8</v>
      </c>
      <c r="D77" s="23"/>
      <c r="E77" s="24">
        <v>66</v>
      </c>
      <c r="F77" s="24">
        <v>-62</v>
      </c>
      <c r="G77" s="25">
        <f t="shared" si="25"/>
        <v>128</v>
      </c>
      <c r="H77" s="23"/>
      <c r="I77" s="86">
        <v>118</v>
      </c>
      <c r="J77" s="3">
        <f>225-5.625*(B77-0.5-(I77-0.5*G77)/G77)</f>
        <v>157.060546875</v>
      </c>
      <c r="K77" s="26">
        <f t="shared" si="26"/>
        <v>210</v>
      </c>
      <c r="L77" s="23"/>
      <c r="N77" s="23"/>
      <c r="O77" s="28">
        <v>7.8E-2</v>
      </c>
      <c r="P77" s="29">
        <v>2.9000000000000001E-2</v>
      </c>
      <c r="Q77" s="23"/>
      <c r="R77" s="30">
        <v>78</v>
      </c>
      <c r="S77" s="31">
        <v>34</v>
      </c>
      <c r="T77" s="32">
        <v>1500</v>
      </c>
      <c r="U77" s="23"/>
      <c r="V77" s="33">
        <v>79</v>
      </c>
      <c r="W77" s="75">
        <f t="shared" si="18"/>
        <v>18.071587602671013</v>
      </c>
      <c r="X77" s="5"/>
      <c r="Y77" s="56"/>
      <c r="Z77" s="13" t="e">
        <f t="shared" si="27"/>
        <v>#DIV/0!</v>
      </c>
      <c r="AB77" s="27">
        <v>10</v>
      </c>
      <c r="AC77" s="27">
        <v>10</v>
      </c>
      <c r="AE77" s="5">
        <f t="shared" si="28"/>
        <v>128</v>
      </c>
      <c r="AF77" s="28"/>
      <c r="AG77" s="55"/>
      <c r="AH77" s="3"/>
      <c r="AJ77" s="5"/>
      <c r="AK77" s="2">
        <v>600</v>
      </c>
      <c r="AL77" s="7">
        <f t="shared" si="19"/>
        <v>4.6800000000000001E-2</v>
      </c>
      <c r="AM77" s="8">
        <f t="shared" si="20"/>
        <v>3.1199999999999999E-2</v>
      </c>
      <c r="AN77" s="56">
        <f t="shared" si="21"/>
        <v>2.0399999999999998E-2</v>
      </c>
      <c r="AO77" s="9">
        <f t="shared" si="22"/>
        <v>8.6000000000000035E-3</v>
      </c>
      <c r="AP77" s="5"/>
      <c r="AQ77" s="91"/>
      <c r="AR77" s="5"/>
      <c r="AS77" s="96"/>
      <c r="AT77" s="5"/>
      <c r="AU77" s="30"/>
      <c r="AV77" s="31"/>
      <c r="AW77" s="32"/>
      <c r="AX77" s="147"/>
      <c r="BN77" s="5"/>
      <c r="BO77">
        <f t="shared" si="29"/>
        <v>0.266955</v>
      </c>
      <c r="BP77">
        <f t="shared" si="23"/>
        <v>0.50270999999999999</v>
      </c>
      <c r="BQ77">
        <f t="shared" si="30"/>
        <v>0.34554000000000001</v>
      </c>
      <c r="BR77">
        <f t="shared" si="31"/>
        <v>0.18836999999999998</v>
      </c>
      <c r="BS77" s="28"/>
      <c r="BT77" s="91"/>
      <c r="BU77" s="28"/>
      <c r="BV77" s="91"/>
      <c r="BW77" s="4">
        <f t="shared" si="24"/>
        <v>128</v>
      </c>
    </row>
    <row r="78" spans="1:75" thickTop="1" thickBot="1" x14ac:dyDescent="0.3">
      <c r="A78" s="15">
        <v>162</v>
      </c>
      <c r="B78" s="16">
        <v>19</v>
      </c>
      <c r="C78" s="16">
        <v>2</v>
      </c>
      <c r="D78" s="17"/>
      <c r="E78" s="1">
        <v>69</v>
      </c>
      <c r="F78" s="1">
        <v>-61</v>
      </c>
      <c r="G78" s="18">
        <f t="shared" si="25"/>
        <v>130</v>
      </c>
      <c r="H78" s="17"/>
      <c r="I78" s="19">
        <v>10</v>
      </c>
      <c r="J78" s="3">
        <f t="shared" si="15"/>
        <v>123.31730769230769</v>
      </c>
      <c r="K78" s="20">
        <f t="shared" si="26"/>
        <v>138</v>
      </c>
      <c r="L78" s="17"/>
      <c r="N78" s="17"/>
      <c r="O78" s="51">
        <v>0.14000000000000001</v>
      </c>
      <c r="P78" s="9">
        <v>3.5999999999999997E-2</v>
      </c>
      <c r="Q78" s="17"/>
      <c r="R78" s="10">
        <v>150</v>
      </c>
      <c r="S78" s="11">
        <v>32</v>
      </c>
      <c r="T78" s="12">
        <v>1300</v>
      </c>
      <c r="U78" s="17"/>
      <c r="W78" s="13" t="e">
        <f t="shared" si="18"/>
        <v>#DIV/0!</v>
      </c>
      <c r="Z78" s="13" t="e">
        <f t="shared" si="27"/>
        <v>#DIV/0!</v>
      </c>
      <c r="AB78" s="72">
        <v>15</v>
      </c>
      <c r="AC78" s="72">
        <v>15</v>
      </c>
      <c r="AE78" s="5">
        <f t="shared" si="28"/>
        <v>162</v>
      </c>
      <c r="AF78" s="8">
        <f>(O78*AB78+O79*AB79+O80*AB80)/100</f>
        <v>0.24420000000000003</v>
      </c>
      <c r="AG78" s="56">
        <f>(P78*AC78+P79*AC79+P80*AC80)/100</f>
        <v>8.8499999999999995E-2</v>
      </c>
      <c r="AH78" s="3">
        <f>225-5.625*($B78-0.5)</f>
        <v>120.9375</v>
      </c>
      <c r="AI78">
        <f>K78</f>
        <v>138</v>
      </c>
      <c r="AK78" s="2">
        <v>800</v>
      </c>
      <c r="AL78" s="7">
        <f t="shared" si="19"/>
        <v>0.12</v>
      </c>
      <c r="AM78" s="8">
        <f t="shared" si="20"/>
        <v>2.0000000000000018E-2</v>
      </c>
      <c r="AN78" s="56">
        <f t="shared" si="21"/>
        <v>2.5599999999999998E-2</v>
      </c>
      <c r="AO78" s="9">
        <f t="shared" si="22"/>
        <v>1.04E-2</v>
      </c>
      <c r="AQ78" s="90">
        <f>($AB78*AM78+$AB79*AM79+$AB80*AM80)/100</f>
        <v>9.2880000000000018E-2</v>
      </c>
      <c r="AS78" s="95">
        <f>($AB78*AO78+$AB79*AO79+$AB80*AO80)/100</f>
        <v>5.2979999999999999E-2</v>
      </c>
      <c r="AU78" s="10">
        <f>($AB78*R78+$AB79*R79+$AB80*R80)/100</f>
        <v>182.85</v>
      </c>
      <c r="AV78" s="11">
        <f>($AB78*S78+$AB79*S79+$AB80*S80)/100</f>
        <v>41.95</v>
      </c>
      <c r="AW78" s="12">
        <f>($AB78*T78+$AB79*T79+$AB80*T80)/100</f>
        <v>1055</v>
      </c>
      <c r="AX78" s="147">
        <f>($AB78*AK78+$AB79*AK79+$AB80*AK80)/100</f>
        <v>840</v>
      </c>
      <c r="BO78">
        <f t="shared" si="29"/>
        <v>0.47337499999999999</v>
      </c>
      <c r="BP78">
        <f t="shared" si="23"/>
        <v>0.92674999999999996</v>
      </c>
      <c r="BQ78">
        <f t="shared" si="30"/>
        <v>0.62450000000000006</v>
      </c>
      <c r="BR78">
        <f t="shared" si="31"/>
        <v>0.32225000000000004</v>
      </c>
      <c r="BS78" s="8">
        <f>($AB78*BO78+$AB79*BO79+$AB80*BO80)/100</f>
        <v>0.64554412500000014</v>
      </c>
      <c r="BT78" s="90">
        <f>($AB78*BP78+$AB79*BP79+$AB80*BP80)/100</f>
        <v>1.1982082500000002</v>
      </c>
      <c r="BU78" s="8">
        <f>($AB78*BQ78+$AB79*BQ79+$AB80*BQ80)/100</f>
        <v>0.82976550000000004</v>
      </c>
      <c r="BV78" s="90">
        <f>($AB78*BR78+$AB79*BR79+$AB80*BR80)/100</f>
        <v>0.46132275</v>
      </c>
      <c r="BW78" s="4">
        <f t="shared" si="24"/>
        <v>162</v>
      </c>
    </row>
    <row r="79" spans="1:75" thickTop="1" thickBot="1" x14ac:dyDescent="0.3">
      <c r="A79" s="4">
        <v>162</v>
      </c>
      <c r="B79" s="2">
        <v>19</v>
      </c>
      <c r="C79" s="2">
        <v>2</v>
      </c>
      <c r="E79" s="1">
        <v>69</v>
      </c>
      <c r="F79" s="1">
        <v>-61</v>
      </c>
      <c r="G79" s="3">
        <f t="shared" si="25"/>
        <v>130</v>
      </c>
      <c r="I79" s="2">
        <v>65</v>
      </c>
      <c r="J79" s="3">
        <f t="shared" si="15"/>
        <v>120.9375</v>
      </c>
      <c r="K79" s="6">
        <f t="shared" si="26"/>
        <v>138</v>
      </c>
      <c r="O79" s="8">
        <v>0.27200000000000002</v>
      </c>
      <c r="P79" s="9">
        <v>9.4E-2</v>
      </c>
      <c r="R79" s="10">
        <v>197</v>
      </c>
      <c r="S79" s="11">
        <v>43</v>
      </c>
      <c r="T79" s="12">
        <v>1000</v>
      </c>
      <c r="W79" s="13" t="e">
        <f t="shared" si="18"/>
        <v>#DIV/0!</v>
      </c>
      <c r="Z79" s="13" t="e">
        <f t="shared" si="27"/>
        <v>#DIV/0!</v>
      </c>
      <c r="AB79" s="72">
        <v>75</v>
      </c>
      <c r="AC79" s="72">
        <v>75</v>
      </c>
      <c r="AE79" s="5">
        <f t="shared" si="28"/>
        <v>162</v>
      </c>
      <c r="AG79" s="56"/>
      <c r="AK79" s="2">
        <v>800</v>
      </c>
      <c r="AL79" s="7">
        <f t="shared" si="19"/>
        <v>0.15759999999999999</v>
      </c>
      <c r="AM79" s="8">
        <f t="shared" si="20"/>
        <v>0.11440000000000003</v>
      </c>
      <c r="AN79" s="56">
        <f t="shared" si="21"/>
        <v>3.44E-2</v>
      </c>
      <c r="AO79" s="9">
        <f t="shared" si="22"/>
        <v>5.96E-2</v>
      </c>
      <c r="AX79" s="147"/>
      <c r="BO79">
        <f t="shared" si="29"/>
        <v>0.70983250000000009</v>
      </c>
      <c r="BP79">
        <f t="shared" si="23"/>
        <v>1.3052650000000001</v>
      </c>
      <c r="BQ79">
        <f t="shared" si="30"/>
        <v>0.90831000000000006</v>
      </c>
      <c r="BR79">
        <f t="shared" si="31"/>
        <v>0.511355</v>
      </c>
      <c r="BS79" s="8"/>
      <c r="BT79" s="90"/>
      <c r="BU79" s="8"/>
      <c r="BV79" s="90"/>
      <c r="BW79" s="4">
        <f t="shared" si="24"/>
        <v>162</v>
      </c>
    </row>
    <row r="80" spans="1:75" s="27" customFormat="1" thickTop="1" thickBot="1" x14ac:dyDescent="0.3">
      <c r="A80" s="21">
        <v>162</v>
      </c>
      <c r="B80" s="22">
        <v>19</v>
      </c>
      <c r="C80" s="22">
        <v>2</v>
      </c>
      <c r="D80" s="23"/>
      <c r="E80" s="24">
        <v>69</v>
      </c>
      <c r="F80" s="24">
        <v>-61</v>
      </c>
      <c r="G80" s="25">
        <f t="shared" si="25"/>
        <v>130</v>
      </c>
      <c r="H80" s="23"/>
      <c r="I80" s="22">
        <v>120</v>
      </c>
      <c r="J80" s="3">
        <f t="shared" ref="J80:J143" si="32">225-5.625*(B80-0.5+(I80-0.5*G80)/G80)</f>
        <v>118.55769230769231</v>
      </c>
      <c r="K80" s="26">
        <f t="shared" si="26"/>
        <v>138</v>
      </c>
      <c r="L80" s="23"/>
      <c r="N80" s="23"/>
      <c r="O80" s="28">
        <v>0.192</v>
      </c>
      <c r="P80" s="29">
        <v>0.126</v>
      </c>
      <c r="Q80" s="23"/>
      <c r="R80" s="30">
        <v>126</v>
      </c>
      <c r="S80" s="31">
        <v>49</v>
      </c>
      <c r="T80" s="32">
        <v>1100</v>
      </c>
      <c r="U80" s="23"/>
      <c r="V80" s="33"/>
      <c r="W80" s="75" t="e">
        <f t="shared" si="18"/>
        <v>#DIV/0!</v>
      </c>
      <c r="X80" s="5"/>
      <c r="Y80" s="56"/>
      <c r="Z80" s="13" t="e">
        <f t="shared" si="27"/>
        <v>#DIV/0!</v>
      </c>
      <c r="AB80" s="27">
        <v>10</v>
      </c>
      <c r="AC80" s="27">
        <v>10</v>
      </c>
      <c r="AE80" s="5">
        <f t="shared" si="28"/>
        <v>162</v>
      </c>
      <c r="AF80" s="28"/>
      <c r="AG80" s="55"/>
      <c r="AH80" s="3"/>
      <c r="AJ80" s="5"/>
      <c r="AK80" s="2">
        <v>1200</v>
      </c>
      <c r="AL80" s="7">
        <f t="shared" si="19"/>
        <v>0.1512</v>
      </c>
      <c r="AM80" s="8">
        <f t="shared" si="20"/>
        <v>4.0800000000000003E-2</v>
      </c>
      <c r="AN80" s="56">
        <f t="shared" si="21"/>
        <v>5.8799999999999998E-2</v>
      </c>
      <c r="AO80" s="9">
        <f t="shared" si="22"/>
        <v>6.720000000000001E-2</v>
      </c>
      <c r="AP80" s="5"/>
      <c r="AQ80" s="91"/>
      <c r="AR80" s="5"/>
      <c r="AS80" s="96"/>
      <c r="AT80" s="5"/>
      <c r="AU80" s="30"/>
      <c r="AV80" s="31"/>
      <c r="AW80" s="32"/>
      <c r="AX80" s="147"/>
      <c r="BN80" s="5"/>
      <c r="BO80">
        <f t="shared" si="29"/>
        <v>0.42163499999999998</v>
      </c>
      <c r="BP80">
        <f t="shared" si="23"/>
        <v>0.80247000000000002</v>
      </c>
      <c r="BQ80">
        <f t="shared" si="30"/>
        <v>0.54858000000000007</v>
      </c>
      <c r="BR80">
        <f t="shared" si="31"/>
        <v>0.29469000000000001</v>
      </c>
      <c r="BS80" s="28"/>
      <c r="BT80" s="91"/>
      <c r="BU80" s="28"/>
      <c r="BV80" s="91"/>
      <c r="BW80" s="4">
        <f t="shared" si="24"/>
        <v>162</v>
      </c>
    </row>
    <row r="81" spans="1:75" thickTop="1" thickBot="1" x14ac:dyDescent="0.3">
      <c r="A81" s="15">
        <v>164</v>
      </c>
      <c r="B81" s="16">
        <v>19</v>
      </c>
      <c r="C81" s="16">
        <v>4</v>
      </c>
      <c r="D81" s="17"/>
      <c r="E81" s="1">
        <v>65</v>
      </c>
      <c r="F81" s="1">
        <v>-56</v>
      </c>
      <c r="G81" s="18">
        <f t="shared" si="25"/>
        <v>121</v>
      </c>
      <c r="H81" s="17"/>
      <c r="I81" s="19">
        <v>10</v>
      </c>
      <c r="J81" s="3">
        <f t="shared" si="32"/>
        <v>123.28512396694214</v>
      </c>
      <c r="K81" s="20">
        <f t="shared" si="26"/>
        <v>162</v>
      </c>
      <c r="L81" s="17"/>
      <c r="N81" s="17"/>
      <c r="O81" s="54">
        <v>0.13200000000000001</v>
      </c>
      <c r="P81" s="9">
        <v>5.8000000000000003E-2</v>
      </c>
      <c r="Q81" s="17"/>
      <c r="R81" s="10">
        <v>243</v>
      </c>
      <c r="S81" s="11">
        <v>65</v>
      </c>
      <c r="T81" s="12">
        <v>4000</v>
      </c>
      <c r="U81" s="17"/>
      <c r="W81" s="13" t="e">
        <f t="shared" si="18"/>
        <v>#DIV/0!</v>
      </c>
      <c r="Z81" s="13" t="e">
        <f t="shared" si="27"/>
        <v>#DIV/0!</v>
      </c>
      <c r="AB81" s="72">
        <v>20</v>
      </c>
      <c r="AC81" s="72">
        <v>20</v>
      </c>
      <c r="AE81" s="5">
        <f t="shared" si="28"/>
        <v>164</v>
      </c>
      <c r="AF81" s="8">
        <f>(O81*AB81+O82*AB82+O83*AB83)/100</f>
        <v>0.2571</v>
      </c>
      <c r="AG81" s="56">
        <f>(P81*AC81+P82*AC82+P83*AC83)/100</f>
        <v>6.6900000000000001E-2</v>
      </c>
      <c r="AH81" s="3">
        <f>225-5.625*($B81-0.5)</f>
        <v>120.9375</v>
      </c>
      <c r="AI81">
        <f>K81</f>
        <v>162</v>
      </c>
      <c r="AK81" s="2">
        <v>1200</v>
      </c>
      <c r="AL81" s="7">
        <f t="shared" si="19"/>
        <v>0.29159999999999997</v>
      </c>
      <c r="AM81" s="8">
        <f t="shared" si="20"/>
        <v>-0.15959999999999996</v>
      </c>
      <c r="AN81" s="56">
        <f t="shared" si="21"/>
        <v>7.8E-2</v>
      </c>
      <c r="AO81" s="9">
        <f t="shared" si="22"/>
        <v>-1.9999999999999997E-2</v>
      </c>
      <c r="AQ81" s="90">
        <f>($AB81*AM81+$AB82*AM82+$AB83*AM83)/100</f>
        <v>-1.3359999999999962E-2</v>
      </c>
      <c r="AS81" s="95">
        <f>($AB81*AO81+$AB82*AO82+$AB83*AO83)/100</f>
        <v>-6.5599999999999973E-3</v>
      </c>
      <c r="AU81" s="10">
        <f>($AB81*R81+$AB82*R82+$AB83*R83)/100</f>
        <v>225.8</v>
      </c>
      <c r="AV81" s="11">
        <f>($AB81*S81+$AB82*S82+$AB83*S83)/100</f>
        <v>61.4</v>
      </c>
      <c r="AW81" s="12">
        <f>($AB81*T81+$AB82*T82+$AB83*T83)/100</f>
        <v>1990</v>
      </c>
      <c r="AX81" s="147">
        <f>($AB81*AK81+$AB82*AK82+$AB83*AK83)/100</f>
        <v>1190</v>
      </c>
      <c r="BO81">
        <f t="shared" si="29"/>
        <v>0.57486750000000009</v>
      </c>
      <c r="BP81">
        <f t="shared" si="23"/>
        <v>1.3093349999999999</v>
      </c>
      <c r="BQ81">
        <f t="shared" si="30"/>
        <v>0.81969000000000003</v>
      </c>
      <c r="BR81">
        <f t="shared" si="31"/>
        <v>0.33004500000000003</v>
      </c>
      <c r="BS81" s="8">
        <f>($AB81*BO81+$AB82*BO82+$AB83*BO83)/100</f>
        <v>0.6691204999999999</v>
      </c>
      <c r="BT81" s="90">
        <f>($AB81*BP81+$AB82*BP82+$AB83*BP83)/100</f>
        <v>1.3516010000000001</v>
      </c>
      <c r="BU81" s="8">
        <f>($AB81*BQ81+$AB82*BQ82+$AB83*BQ83)/100</f>
        <v>0.89661400000000013</v>
      </c>
      <c r="BV81" s="90">
        <f>($AB81*BR81+$AB82*BR82+$AB83*BR83)/100</f>
        <v>0.44162699999999999</v>
      </c>
      <c r="BW81" s="4">
        <f t="shared" si="24"/>
        <v>164</v>
      </c>
    </row>
    <row r="82" spans="1:75" thickTop="1" thickBot="1" x14ac:dyDescent="0.3">
      <c r="A82" s="4">
        <v>164</v>
      </c>
      <c r="B82" s="2">
        <v>19</v>
      </c>
      <c r="C82" s="2">
        <v>4</v>
      </c>
      <c r="E82" s="1">
        <v>65</v>
      </c>
      <c r="F82" s="1">
        <v>-56</v>
      </c>
      <c r="G82" s="3">
        <f t="shared" si="25"/>
        <v>121</v>
      </c>
      <c r="I82" s="2">
        <v>66</v>
      </c>
      <c r="J82" s="3">
        <f t="shared" si="32"/>
        <v>120.68181818181817</v>
      </c>
      <c r="K82" s="6">
        <f t="shared" si="26"/>
        <v>162</v>
      </c>
      <c r="O82" s="8">
        <v>0.318</v>
      </c>
      <c r="P82" s="9">
        <v>7.3999999999999996E-2</v>
      </c>
      <c r="R82" s="10">
        <v>246</v>
      </c>
      <c r="S82" s="11">
        <v>66</v>
      </c>
      <c r="T82" s="12">
        <v>1600</v>
      </c>
      <c r="W82" s="13" t="e">
        <f t="shared" si="18"/>
        <v>#DIV/0!</v>
      </c>
      <c r="Z82" s="13" t="e">
        <f t="shared" si="27"/>
        <v>#DIV/0!</v>
      </c>
      <c r="AB82" s="72">
        <v>70</v>
      </c>
      <c r="AC82" s="72">
        <v>70</v>
      </c>
      <c r="AE82" s="5">
        <f t="shared" si="28"/>
        <v>164</v>
      </c>
      <c r="AG82" s="56"/>
      <c r="AK82" s="2">
        <v>1200</v>
      </c>
      <c r="AL82" s="7">
        <f t="shared" si="19"/>
        <v>0.29519999999999996</v>
      </c>
      <c r="AM82" s="8">
        <f t="shared" si="20"/>
        <v>2.2800000000000042E-2</v>
      </c>
      <c r="AN82" s="56">
        <f t="shared" si="21"/>
        <v>7.9199999999999993E-2</v>
      </c>
      <c r="AO82" s="9">
        <f t="shared" si="22"/>
        <v>-5.1999999999999963E-3</v>
      </c>
      <c r="AX82" s="147"/>
      <c r="BO82">
        <f t="shared" si="29"/>
        <v>0.76633499999999999</v>
      </c>
      <c r="BP82">
        <f t="shared" si="23"/>
        <v>1.50987</v>
      </c>
      <c r="BQ82">
        <f t="shared" si="30"/>
        <v>1.0141800000000001</v>
      </c>
      <c r="BR82">
        <f t="shared" si="31"/>
        <v>0.51849000000000001</v>
      </c>
      <c r="BS82" s="8"/>
      <c r="BT82" s="90"/>
      <c r="BU82" s="8"/>
      <c r="BV82" s="90"/>
      <c r="BW82" s="4">
        <f t="shared" si="24"/>
        <v>164</v>
      </c>
    </row>
    <row r="83" spans="1:75" s="27" customFormat="1" thickTop="1" thickBot="1" x14ac:dyDescent="0.3">
      <c r="A83" s="21">
        <v>164</v>
      </c>
      <c r="B83" s="22">
        <v>19</v>
      </c>
      <c r="C83" s="22">
        <v>4</v>
      </c>
      <c r="D83" s="23"/>
      <c r="E83" s="24">
        <v>65</v>
      </c>
      <c r="F83" s="24">
        <v>-56</v>
      </c>
      <c r="G83" s="25">
        <f t="shared" si="25"/>
        <v>121</v>
      </c>
      <c r="H83" s="23"/>
      <c r="I83" s="22">
        <v>111</v>
      </c>
      <c r="J83" s="3">
        <f t="shared" si="32"/>
        <v>118.58987603305786</v>
      </c>
      <c r="K83" s="26">
        <f t="shared" si="26"/>
        <v>162</v>
      </c>
      <c r="L83" s="23"/>
      <c r="N83" s="23"/>
      <c r="O83" s="28">
        <v>8.1000000000000003E-2</v>
      </c>
      <c r="P83" s="29">
        <v>3.5000000000000003E-2</v>
      </c>
      <c r="Q83" s="23"/>
      <c r="R83" s="30">
        <v>50</v>
      </c>
      <c r="S83" s="31">
        <v>22</v>
      </c>
      <c r="T83" s="32">
        <v>700</v>
      </c>
      <c r="U83" s="23"/>
      <c r="V83" s="33"/>
      <c r="W83" s="75" t="e">
        <f t="shared" si="18"/>
        <v>#DIV/0!</v>
      </c>
      <c r="X83" s="5"/>
      <c r="Y83" s="56"/>
      <c r="Z83" s="13" t="e">
        <f t="shared" si="27"/>
        <v>#DIV/0!</v>
      </c>
      <c r="AB83" s="27">
        <v>10</v>
      </c>
      <c r="AC83" s="27">
        <v>10</v>
      </c>
      <c r="AE83" s="5">
        <f t="shared" si="28"/>
        <v>164</v>
      </c>
      <c r="AF83" s="28"/>
      <c r="AG83" s="55"/>
      <c r="AH83" s="3"/>
      <c r="AJ83" s="5"/>
      <c r="AK83" s="2">
        <v>1100</v>
      </c>
      <c r="AL83" s="7">
        <f t="shared" si="19"/>
        <v>5.5E-2</v>
      </c>
      <c r="AM83" s="8">
        <f t="shared" si="20"/>
        <v>2.6000000000000002E-2</v>
      </c>
      <c r="AN83" s="56">
        <f t="shared" si="21"/>
        <v>2.4199999999999999E-2</v>
      </c>
      <c r="AO83" s="9">
        <f t="shared" si="22"/>
        <v>1.0800000000000004E-2</v>
      </c>
      <c r="AP83" s="5"/>
      <c r="AQ83" s="91"/>
      <c r="AR83" s="5"/>
      <c r="AS83" s="96"/>
      <c r="AT83" s="5"/>
      <c r="AU83" s="30"/>
      <c r="AV83" s="31"/>
      <c r="AW83" s="32"/>
      <c r="AX83" s="147"/>
      <c r="BN83" s="5"/>
      <c r="BO83">
        <f t="shared" si="29"/>
        <v>0.177125</v>
      </c>
      <c r="BP83">
        <f t="shared" si="23"/>
        <v>0.32824999999999999</v>
      </c>
      <c r="BQ83">
        <f t="shared" si="30"/>
        <v>0.22749999999999998</v>
      </c>
      <c r="BR83">
        <f t="shared" si="31"/>
        <v>0.12675</v>
      </c>
      <c r="BS83" s="28"/>
      <c r="BT83" s="91"/>
      <c r="BU83" s="28"/>
      <c r="BV83" s="91"/>
      <c r="BW83" s="4">
        <f t="shared" si="24"/>
        <v>164</v>
      </c>
    </row>
    <row r="84" spans="1:75" thickTop="1" thickBot="1" x14ac:dyDescent="0.3">
      <c r="A84" s="15">
        <v>166</v>
      </c>
      <c r="B84" s="16">
        <v>19</v>
      </c>
      <c r="C84" s="16">
        <v>6</v>
      </c>
      <c r="D84" s="17"/>
      <c r="E84" s="1">
        <v>63</v>
      </c>
      <c r="F84" s="1">
        <v>-55</v>
      </c>
      <c r="G84" s="18">
        <f t="shared" si="25"/>
        <v>118</v>
      </c>
      <c r="H84" s="17"/>
      <c r="I84" s="16">
        <v>10</v>
      </c>
      <c r="J84" s="3">
        <f t="shared" ref="J84:J89" si="33">225-5.625*(B84-0.5-(I84-0.5*G84)/G84)</f>
        <v>118.60169491525424</v>
      </c>
      <c r="K84" s="20">
        <f t="shared" si="26"/>
        <v>186</v>
      </c>
      <c r="L84" s="17"/>
      <c r="N84" s="17"/>
      <c r="O84" s="8">
        <v>5.5E-2</v>
      </c>
      <c r="P84" s="9">
        <v>0.01</v>
      </c>
      <c r="Q84" s="17"/>
      <c r="R84" s="10">
        <v>38</v>
      </c>
      <c r="S84" s="11">
        <v>9</v>
      </c>
      <c r="T84" s="12">
        <v>1000</v>
      </c>
      <c r="U84" s="17"/>
      <c r="W84" s="13" t="e">
        <f t="shared" si="18"/>
        <v>#DIV/0!</v>
      </c>
      <c r="Z84" s="13" t="e">
        <f t="shared" si="27"/>
        <v>#DIV/0!</v>
      </c>
      <c r="AB84" s="72">
        <v>20</v>
      </c>
      <c r="AC84" s="72">
        <v>20</v>
      </c>
      <c r="AE84" s="5">
        <f t="shared" si="28"/>
        <v>166</v>
      </c>
      <c r="AF84" s="8">
        <f>(O84*AB84+O85*AB85+O86*AB86)/100</f>
        <v>0.26690000000000003</v>
      </c>
      <c r="AG84" s="56">
        <f>(P84*AC84+P85*AC85+P86*AC86)/100</f>
        <v>4.4600000000000001E-2</v>
      </c>
      <c r="AH84" s="3">
        <f>225-5.625*($B84-0.5)</f>
        <v>120.9375</v>
      </c>
      <c r="AI84">
        <f>K84</f>
        <v>186</v>
      </c>
      <c r="AK84" s="2">
        <v>600</v>
      </c>
      <c r="AL84" s="7">
        <f t="shared" si="19"/>
        <v>2.2799999999999997E-2</v>
      </c>
      <c r="AM84" s="8">
        <f t="shared" si="20"/>
        <v>3.2200000000000006E-2</v>
      </c>
      <c r="AN84" s="56">
        <f t="shared" si="21"/>
        <v>5.3999999999999994E-3</v>
      </c>
      <c r="AO84" s="9">
        <f t="shared" si="22"/>
        <v>4.6000000000000008E-3</v>
      </c>
      <c r="AQ84" s="90">
        <f>($AB84*AM84+$AB85*AM85+$AB86*AM86)/100</f>
        <v>5.6615000000000047E-2</v>
      </c>
      <c r="AS84" s="95">
        <f>($AB84*AO84+$AB85*AO85+$AB86*AO86)/100</f>
        <v>2.1950000000000025E-3</v>
      </c>
      <c r="AU84" s="10">
        <f>($AB84*R84+$AB85*R85+$AB86*R86)/100</f>
        <v>194.95</v>
      </c>
      <c r="AV84" s="11">
        <f>($AB84*S84+$AB85*S85+$AB86*S86)/100</f>
        <v>39.6</v>
      </c>
      <c r="AW84" s="12">
        <f>($AB84*T84+$AB85*T85+$AB86*T86)/100</f>
        <v>1787.5</v>
      </c>
      <c r="AX84" s="147">
        <f>($AB84*AK84+$AB85*AK85+$AB86*AK86)/100</f>
        <v>995</v>
      </c>
      <c r="BO84">
        <f t="shared" si="29"/>
        <v>0.14705499999999999</v>
      </c>
      <c r="BP84">
        <f t="shared" si="23"/>
        <v>0.26191000000000003</v>
      </c>
      <c r="BQ84">
        <f t="shared" si="30"/>
        <v>0.18534</v>
      </c>
      <c r="BR84">
        <f t="shared" si="31"/>
        <v>0.10877000000000001</v>
      </c>
      <c r="BS84" s="8">
        <f>($AB84*BO84+$AB85*BO85+$AB86*BO86)/100</f>
        <v>0.64585137500000001</v>
      </c>
      <c r="BT84" s="90">
        <f>($AB84*BP84+$AB85*BP85+$AB86*BP86)/100</f>
        <v>1.2350877499999999</v>
      </c>
      <c r="BU84" s="8">
        <f>($AB84*BQ84+$AB85*BQ85+$AB86*BQ86)/100</f>
        <v>0.84226350000000005</v>
      </c>
      <c r="BV84" s="90">
        <f>($AB84*BR84+$AB85*BR85+$AB86*BR86)/100</f>
        <v>0.44943925000000001</v>
      </c>
      <c r="BW84" s="4">
        <f t="shared" si="24"/>
        <v>166</v>
      </c>
    </row>
    <row r="85" spans="1:75" thickTop="1" thickBot="1" x14ac:dyDescent="0.3">
      <c r="A85" s="4">
        <v>166</v>
      </c>
      <c r="B85" s="2">
        <v>19</v>
      </c>
      <c r="C85" s="2">
        <v>6</v>
      </c>
      <c r="E85" s="1">
        <v>63</v>
      </c>
      <c r="F85" s="1">
        <v>-55</v>
      </c>
      <c r="G85" s="3">
        <f t="shared" si="25"/>
        <v>118</v>
      </c>
      <c r="I85" s="2">
        <v>59</v>
      </c>
      <c r="J85" s="3">
        <f t="shared" si="33"/>
        <v>120.9375</v>
      </c>
      <c r="K85" s="6">
        <f t="shared" si="26"/>
        <v>186</v>
      </c>
      <c r="O85" s="8">
        <v>0.33500000000000002</v>
      </c>
      <c r="P85" s="9">
        <v>5.2999999999999999E-2</v>
      </c>
      <c r="R85" s="10">
        <v>245</v>
      </c>
      <c r="S85" s="11">
        <v>47</v>
      </c>
      <c r="T85" s="12">
        <v>2000</v>
      </c>
      <c r="W85" s="13" t="e">
        <f t="shared" si="18"/>
        <v>#DIV/0!</v>
      </c>
      <c r="Z85" s="13" t="e">
        <f t="shared" si="27"/>
        <v>#DIV/0!</v>
      </c>
      <c r="AB85" s="72">
        <v>75</v>
      </c>
      <c r="AC85" s="72">
        <v>75</v>
      </c>
      <c r="AE85" s="5">
        <f t="shared" si="28"/>
        <v>166</v>
      </c>
      <c r="AG85" s="56"/>
      <c r="AK85" s="2">
        <v>1100</v>
      </c>
      <c r="AL85" s="7">
        <f t="shared" si="19"/>
        <v>0.26949999999999996</v>
      </c>
      <c r="AM85" s="8">
        <f t="shared" si="20"/>
        <v>6.5500000000000058E-2</v>
      </c>
      <c r="AN85" s="56">
        <f t="shared" si="21"/>
        <v>5.1699999999999996E-2</v>
      </c>
      <c r="AO85" s="9">
        <f t="shared" si="22"/>
        <v>1.3000000000000025E-3</v>
      </c>
      <c r="AX85" s="147"/>
      <c r="BO85">
        <f t="shared" si="29"/>
        <v>0.80601250000000002</v>
      </c>
      <c r="BP85">
        <f t="shared" si="23"/>
        <v>1.5465249999999999</v>
      </c>
      <c r="BQ85">
        <f t="shared" si="30"/>
        <v>1.0528500000000001</v>
      </c>
      <c r="BR85">
        <f t="shared" si="31"/>
        <v>0.55917499999999998</v>
      </c>
      <c r="BS85" s="8"/>
      <c r="BT85" s="90"/>
      <c r="BU85" s="8"/>
      <c r="BV85" s="90"/>
      <c r="BW85" s="4">
        <f t="shared" si="24"/>
        <v>166</v>
      </c>
    </row>
    <row r="86" spans="1:75" s="27" customFormat="1" thickTop="1" thickBot="1" x14ac:dyDescent="0.3">
      <c r="A86" s="21">
        <v>166</v>
      </c>
      <c r="B86" s="22">
        <v>19</v>
      </c>
      <c r="C86" s="22">
        <v>6</v>
      </c>
      <c r="D86" s="23"/>
      <c r="E86" s="24">
        <v>63</v>
      </c>
      <c r="F86" s="24">
        <v>-55</v>
      </c>
      <c r="G86" s="25">
        <f t="shared" si="25"/>
        <v>118</v>
      </c>
      <c r="H86" s="23"/>
      <c r="I86" s="86">
        <v>108</v>
      </c>
      <c r="J86" s="3">
        <f t="shared" si="33"/>
        <v>123.27330508474576</v>
      </c>
      <c r="K86" s="26">
        <f t="shared" si="26"/>
        <v>186</v>
      </c>
      <c r="L86" s="23"/>
      <c r="N86" s="23"/>
      <c r="O86" s="28">
        <v>9.2999999999999999E-2</v>
      </c>
      <c r="P86" s="29">
        <v>5.7000000000000002E-2</v>
      </c>
      <c r="Q86" s="23"/>
      <c r="R86" s="30">
        <v>72</v>
      </c>
      <c r="S86" s="31">
        <v>51</v>
      </c>
      <c r="T86" s="32">
        <v>1750</v>
      </c>
      <c r="U86" s="23"/>
      <c r="V86" s="33"/>
      <c r="W86" s="75" t="e">
        <f t="shared" si="18"/>
        <v>#DIV/0!</v>
      </c>
      <c r="X86" s="5"/>
      <c r="Y86" s="56"/>
      <c r="Z86" s="13" t="e">
        <f t="shared" si="27"/>
        <v>#DIV/0!</v>
      </c>
      <c r="AB86" s="27">
        <v>5</v>
      </c>
      <c r="AC86" s="27">
        <v>5</v>
      </c>
      <c r="AE86" s="5">
        <f t="shared" si="28"/>
        <v>166</v>
      </c>
      <c r="AF86" s="28"/>
      <c r="AG86" s="55"/>
      <c r="AH86" s="3"/>
      <c r="AJ86" s="5"/>
      <c r="AK86" s="2">
        <v>1000</v>
      </c>
      <c r="AL86" s="7">
        <f t="shared" si="19"/>
        <v>7.1999999999999995E-2</v>
      </c>
      <c r="AM86" s="8">
        <f t="shared" si="20"/>
        <v>2.1000000000000005E-2</v>
      </c>
      <c r="AN86" s="56">
        <f t="shared" si="21"/>
        <v>5.0999999999999997E-2</v>
      </c>
      <c r="AO86" s="9">
        <f t="shared" si="22"/>
        <v>6.0000000000000053E-3</v>
      </c>
      <c r="AP86" s="5"/>
      <c r="AQ86" s="91"/>
      <c r="AR86" s="5"/>
      <c r="AS86" s="96"/>
      <c r="AT86" s="5"/>
      <c r="AU86" s="30"/>
      <c r="AV86" s="31"/>
      <c r="AW86" s="32"/>
      <c r="AX86" s="147"/>
      <c r="BN86" s="5"/>
      <c r="BO86">
        <f t="shared" si="29"/>
        <v>0.23862</v>
      </c>
      <c r="BP86">
        <f t="shared" si="23"/>
        <v>0.45623999999999998</v>
      </c>
      <c r="BQ86">
        <f t="shared" si="30"/>
        <v>0.31115999999999999</v>
      </c>
      <c r="BR86">
        <f t="shared" si="31"/>
        <v>0.16608000000000001</v>
      </c>
      <c r="BS86" s="28"/>
      <c r="BT86" s="91"/>
      <c r="BU86" s="28"/>
      <c r="BV86" s="91"/>
      <c r="BW86" s="4">
        <f t="shared" si="24"/>
        <v>166</v>
      </c>
    </row>
    <row r="87" spans="1:75" thickTop="1" thickBot="1" x14ac:dyDescent="0.3">
      <c r="A87" s="15">
        <v>168</v>
      </c>
      <c r="B87" s="16">
        <v>19</v>
      </c>
      <c r="C87" s="16">
        <v>8</v>
      </c>
      <c r="D87" s="17"/>
      <c r="E87" s="1">
        <v>64</v>
      </c>
      <c r="F87" s="1">
        <v>-60</v>
      </c>
      <c r="G87" s="18">
        <f t="shared" si="25"/>
        <v>124</v>
      </c>
      <c r="H87" s="17"/>
      <c r="I87" s="16">
        <v>10</v>
      </c>
      <c r="J87" s="3">
        <f t="shared" si="33"/>
        <v>118.57862903225808</v>
      </c>
      <c r="K87" s="20">
        <f t="shared" si="26"/>
        <v>210</v>
      </c>
      <c r="L87" s="17"/>
      <c r="N87" s="17"/>
      <c r="O87" s="54">
        <v>5.2999999999999999E-2</v>
      </c>
      <c r="P87" s="9">
        <v>6.6000000000000003E-2</v>
      </c>
      <c r="Q87" s="17"/>
      <c r="R87" s="10">
        <v>134</v>
      </c>
      <c r="S87" s="11">
        <v>41</v>
      </c>
      <c r="T87" s="12">
        <v>3500</v>
      </c>
      <c r="U87" s="17"/>
      <c r="W87" s="13" t="e">
        <f t="shared" si="18"/>
        <v>#DIV/0!</v>
      </c>
      <c r="Z87" s="13" t="e">
        <f t="shared" si="27"/>
        <v>#DIV/0!</v>
      </c>
      <c r="AB87" s="72">
        <v>30</v>
      </c>
      <c r="AC87" s="72">
        <v>30</v>
      </c>
      <c r="AE87" s="5">
        <f t="shared" si="28"/>
        <v>168</v>
      </c>
      <c r="AF87" s="8">
        <f>(O87*AB87+O88*AB88+O89*AB89)/100</f>
        <v>0.14019999999999999</v>
      </c>
      <c r="AG87" s="56">
        <f>(P87*AC87+P88*AC88+P89*AC89)/100</f>
        <v>6.3399999999999998E-2</v>
      </c>
      <c r="AH87" s="3">
        <f>225-5.625*($B87-0.5)</f>
        <v>120.9375</v>
      </c>
      <c r="AI87">
        <f>K87</f>
        <v>210</v>
      </c>
      <c r="AK87" s="2">
        <v>1000</v>
      </c>
      <c r="AL87" s="7">
        <f t="shared" si="19"/>
        <v>0.13399999999999998</v>
      </c>
      <c r="AM87" s="8">
        <f t="shared" si="20"/>
        <v>-8.0999999999999989E-2</v>
      </c>
      <c r="AN87" s="56">
        <f t="shared" si="21"/>
        <v>4.0999999999999995E-2</v>
      </c>
      <c r="AO87" s="9">
        <f t="shared" si="22"/>
        <v>2.5000000000000008E-2</v>
      </c>
      <c r="AQ87" s="90">
        <f>($AB87*AM87+$AB88*AM88+$AB89*AM89)/100</f>
        <v>-2.1099999999999997E-2</v>
      </c>
      <c r="AS87" s="95">
        <f>($AB87*AO87+$AB88*AO88+$AB89*AO89)/100</f>
        <v>1.1400000000000006E-2</v>
      </c>
      <c r="AU87" s="10">
        <f>($AB87*R87+$AB88*R88+$AB89*R89)/100</f>
        <v>161.30000000000001</v>
      </c>
      <c r="AV87" s="11">
        <f>($AB87*S87+$AB88*S88+$AB89*S89)/100</f>
        <v>52</v>
      </c>
      <c r="AW87" s="12">
        <f>($AB87*T87+$AB88*T88+$AB89*T89)/100</f>
        <v>2640</v>
      </c>
      <c r="AX87" s="147">
        <f>($AB87*AK87+$AB88*AK88+$AB89*AK89)/100</f>
        <v>1000</v>
      </c>
      <c r="BO87">
        <f t="shared" si="29"/>
        <v>0.324015</v>
      </c>
      <c r="BP87">
        <f t="shared" si="23"/>
        <v>0.72903000000000007</v>
      </c>
      <c r="BQ87">
        <f t="shared" si="30"/>
        <v>0.45901999999999998</v>
      </c>
      <c r="BR87">
        <f t="shared" si="31"/>
        <v>0.18900999999999998</v>
      </c>
      <c r="BS87" s="8">
        <f>($AB87*BO87+$AB88*BO88+$AB89*BO89)/100</f>
        <v>0.46642925000000007</v>
      </c>
      <c r="BT87" s="90">
        <f>($AB87*BP87+$AB88*BP88+$AB89*BP89)/100</f>
        <v>0.95395850000000015</v>
      </c>
      <c r="BU87" s="8">
        <f>($AB87*BQ87+$AB88*BQ88+$AB89*BQ89)/100</f>
        <v>0.62893900000000014</v>
      </c>
      <c r="BV87" s="90">
        <f>($AB87*BR87+$AB88*BR88+$AB89*BR89)/100</f>
        <v>0.30391950000000001</v>
      </c>
      <c r="BW87" s="4">
        <f t="shared" si="24"/>
        <v>168</v>
      </c>
    </row>
    <row r="88" spans="1:75" thickTop="1" thickBot="1" x14ac:dyDescent="0.3">
      <c r="A88" s="4">
        <v>168</v>
      </c>
      <c r="B88" s="2">
        <v>19</v>
      </c>
      <c r="C88" s="2">
        <v>8</v>
      </c>
      <c r="E88" s="1">
        <v>64</v>
      </c>
      <c r="F88" s="1">
        <v>-60</v>
      </c>
      <c r="G88" s="3">
        <f t="shared" si="25"/>
        <v>124</v>
      </c>
      <c r="I88" s="2">
        <v>62</v>
      </c>
      <c r="J88" s="3">
        <f t="shared" si="33"/>
        <v>120.9375</v>
      </c>
      <c r="K88" s="6">
        <f t="shared" si="26"/>
        <v>210</v>
      </c>
      <c r="O88" s="8">
        <v>0.182</v>
      </c>
      <c r="P88" s="9">
        <v>6.3E-2</v>
      </c>
      <c r="R88" s="10">
        <v>185</v>
      </c>
      <c r="S88" s="11">
        <v>57</v>
      </c>
      <c r="T88" s="12">
        <v>2300</v>
      </c>
      <c r="W88" s="13" t="e">
        <f t="shared" si="18"/>
        <v>#DIV/0!</v>
      </c>
      <c r="Z88" s="13" t="e">
        <f t="shared" si="27"/>
        <v>#DIV/0!</v>
      </c>
      <c r="AB88" s="72">
        <v>60</v>
      </c>
      <c r="AC88" s="72">
        <v>60</v>
      </c>
      <c r="AE88" s="5">
        <f t="shared" si="28"/>
        <v>168</v>
      </c>
      <c r="AG88" s="56"/>
      <c r="AK88" s="2">
        <v>1000</v>
      </c>
      <c r="AL88" s="7">
        <f t="shared" si="19"/>
        <v>0.185</v>
      </c>
      <c r="AM88" s="8">
        <f t="shared" si="20"/>
        <v>-3.0000000000000027E-3</v>
      </c>
      <c r="AN88" s="56">
        <f t="shared" si="21"/>
        <v>5.6999999999999995E-2</v>
      </c>
      <c r="AO88" s="9">
        <f t="shared" si="22"/>
        <v>6.0000000000000053E-3</v>
      </c>
      <c r="AX88" s="147"/>
      <c r="BO88">
        <f t="shared" si="29"/>
        <v>0.5561625</v>
      </c>
      <c r="BP88">
        <f t="shared" si="23"/>
        <v>1.1153249999999999</v>
      </c>
      <c r="BQ88">
        <f t="shared" si="30"/>
        <v>0.74255000000000004</v>
      </c>
      <c r="BR88">
        <f t="shared" si="31"/>
        <v>0.36977499999999996</v>
      </c>
      <c r="BS88" s="8"/>
      <c r="BT88" s="90"/>
      <c r="BU88" s="8"/>
      <c r="BV88" s="90"/>
      <c r="BW88" s="4">
        <f t="shared" si="24"/>
        <v>168</v>
      </c>
    </row>
    <row r="89" spans="1:75" s="27" customFormat="1" thickTop="1" thickBot="1" x14ac:dyDescent="0.3">
      <c r="A89" s="21">
        <v>168</v>
      </c>
      <c r="B89" s="22">
        <v>19</v>
      </c>
      <c r="C89" s="22">
        <v>8</v>
      </c>
      <c r="D89" s="23"/>
      <c r="E89" s="24">
        <v>64</v>
      </c>
      <c r="F89" s="24">
        <v>-60</v>
      </c>
      <c r="G89" s="25">
        <f t="shared" si="25"/>
        <v>124</v>
      </c>
      <c r="H89" s="23"/>
      <c r="I89" s="86">
        <v>114</v>
      </c>
      <c r="J89" s="3">
        <f t="shared" si="33"/>
        <v>123.29637096774192</v>
      </c>
      <c r="K89" s="26">
        <f t="shared" si="26"/>
        <v>210</v>
      </c>
      <c r="L89" s="23"/>
      <c r="N89" s="23"/>
      <c r="O89" s="28">
        <v>0.151</v>
      </c>
      <c r="P89" s="29">
        <v>5.8000000000000003E-2</v>
      </c>
      <c r="Q89" s="23"/>
      <c r="R89" s="30">
        <v>101</v>
      </c>
      <c r="S89" s="31">
        <v>55</v>
      </c>
      <c r="T89" s="32">
        <v>2100</v>
      </c>
      <c r="U89" s="23"/>
      <c r="V89" s="33"/>
      <c r="W89" s="75" t="e">
        <f t="shared" si="18"/>
        <v>#DIV/0!</v>
      </c>
      <c r="X89" s="5"/>
      <c r="Y89" s="56"/>
      <c r="Z89" s="13" t="e">
        <f t="shared" si="27"/>
        <v>#DIV/0!</v>
      </c>
      <c r="AB89" s="27">
        <v>10</v>
      </c>
      <c r="AC89" s="27">
        <v>10</v>
      </c>
      <c r="AE89" s="5">
        <f t="shared" si="28"/>
        <v>168</v>
      </c>
      <c r="AF89" s="28"/>
      <c r="AG89" s="55"/>
      <c r="AH89" s="3"/>
      <c r="AJ89" s="5"/>
      <c r="AK89" s="2">
        <v>1000</v>
      </c>
      <c r="AL89" s="7">
        <f t="shared" si="19"/>
        <v>0.10099999999999999</v>
      </c>
      <c r="AM89" s="8">
        <f t="shared" si="20"/>
        <v>0.05</v>
      </c>
      <c r="AN89" s="56">
        <f t="shared" si="21"/>
        <v>5.5E-2</v>
      </c>
      <c r="AO89" s="9">
        <f t="shared" si="22"/>
        <v>3.0000000000000027E-3</v>
      </c>
      <c r="AP89" s="5"/>
      <c r="AQ89" s="91"/>
      <c r="AR89" s="5"/>
      <c r="AS89" s="96"/>
      <c r="AT89" s="5"/>
      <c r="AU89" s="30"/>
      <c r="AV89" s="31"/>
      <c r="AW89" s="32"/>
      <c r="AX89" s="147"/>
      <c r="BN89" s="5"/>
      <c r="BO89">
        <f t="shared" si="29"/>
        <v>0.35527249999999999</v>
      </c>
      <c r="BP89">
        <f t="shared" si="23"/>
        <v>0.66054500000000005</v>
      </c>
      <c r="BQ89">
        <f t="shared" si="30"/>
        <v>0.45703000000000005</v>
      </c>
      <c r="BR89">
        <f t="shared" si="31"/>
        <v>0.25351499999999999</v>
      </c>
      <c r="BS89" s="28"/>
      <c r="BT89" s="91"/>
      <c r="BU89" s="28"/>
      <c r="BV89" s="91"/>
      <c r="BW89" s="4">
        <f t="shared" si="24"/>
        <v>168</v>
      </c>
    </row>
    <row r="90" spans="1:75" thickTop="1" thickBot="1" x14ac:dyDescent="0.3">
      <c r="A90" s="15">
        <v>170</v>
      </c>
      <c r="B90" s="16">
        <v>19</v>
      </c>
      <c r="C90" s="16">
        <v>10</v>
      </c>
      <c r="D90" s="17"/>
      <c r="E90" s="1">
        <v>69</v>
      </c>
      <c r="F90" s="1">
        <v>-69</v>
      </c>
      <c r="G90" s="18">
        <f t="shared" si="25"/>
        <v>138</v>
      </c>
      <c r="H90" s="17"/>
      <c r="I90" s="19">
        <v>10</v>
      </c>
      <c r="J90" s="3">
        <f t="shared" si="32"/>
        <v>123.34239130434783</v>
      </c>
      <c r="K90" s="20">
        <f t="shared" si="26"/>
        <v>234</v>
      </c>
      <c r="L90" s="17"/>
      <c r="N90" s="17"/>
      <c r="O90" s="8">
        <v>0</v>
      </c>
      <c r="P90" s="102">
        <v>0.216</v>
      </c>
      <c r="Q90" s="17"/>
      <c r="R90" s="10">
        <v>480</v>
      </c>
      <c r="S90" s="11">
        <v>46</v>
      </c>
      <c r="T90" s="12">
        <v>3000</v>
      </c>
      <c r="U90" s="17"/>
      <c r="W90" s="13" t="e">
        <f t="shared" si="18"/>
        <v>#DIV/0!</v>
      </c>
      <c r="Z90" s="13" t="e">
        <f t="shared" si="27"/>
        <v>#DIV/0!</v>
      </c>
      <c r="AB90" s="72">
        <v>10</v>
      </c>
      <c r="AC90" s="72">
        <v>10</v>
      </c>
      <c r="AD90" t="s">
        <v>27</v>
      </c>
      <c r="AE90" s="5">
        <f t="shared" si="28"/>
        <v>170</v>
      </c>
      <c r="AF90" s="8">
        <f>(O90*AB90+O91*AB91+O92*AB92)/100</f>
        <v>2.9400000000000003E-2</v>
      </c>
      <c r="AG90" s="56">
        <f>(P90*AC90+P91*AC91+P92*AC92)/100</f>
        <v>0.1009</v>
      </c>
      <c r="AH90" s="3">
        <f>225-5.625*($B90-0.5)</f>
        <v>120.9375</v>
      </c>
      <c r="AI90">
        <f>K90</f>
        <v>234</v>
      </c>
      <c r="AK90" s="2">
        <v>2700</v>
      </c>
      <c r="AL90" s="7">
        <f t="shared" si="19"/>
        <v>1.296</v>
      </c>
      <c r="AM90" s="8">
        <f t="shared" si="20"/>
        <v>-1.296</v>
      </c>
      <c r="AN90" s="56">
        <f t="shared" si="21"/>
        <v>0.12419999999999999</v>
      </c>
      <c r="AO90" s="9">
        <f t="shared" si="22"/>
        <v>9.1800000000000007E-2</v>
      </c>
      <c r="AQ90" s="90">
        <f>($AB90*AM90+$AB91*AM91+$AB92*AM92)/100</f>
        <v>-0.17838000000000001</v>
      </c>
      <c r="AS90" s="95">
        <f>($AB90*AO90+$AB91*AO91+$AB92*AO92)/100</f>
        <v>5.3559999999999997E-2</v>
      </c>
      <c r="AU90" s="10">
        <f>($AB90*R90+$AB91*R91+$AB92*R92)/100</f>
        <v>178.3</v>
      </c>
      <c r="AV90" s="11">
        <f>($AB90*S90+$AB91*S91+$AB92*S92)/100</f>
        <v>62.8</v>
      </c>
      <c r="AW90" s="12">
        <f>($AB90*T90+$AB91*T91+$AB92*T92)/100</f>
        <v>3140</v>
      </c>
      <c r="AX90" s="147">
        <f>($AB90*AK90+$AB91*AK91+$AB92*AK92)/100</f>
        <v>810</v>
      </c>
      <c r="BO90">
        <f t="shared" si="29"/>
        <v>0.15479999999999999</v>
      </c>
      <c r="BP90">
        <f t="shared" si="23"/>
        <v>1.6055999999999999</v>
      </c>
      <c r="BQ90">
        <f t="shared" si="30"/>
        <v>0.63839999999999997</v>
      </c>
      <c r="BR90">
        <f t="shared" si="31"/>
        <v>-0.32879999999999998</v>
      </c>
      <c r="BS90" s="8">
        <f>($AB90*BO90+$AB91*BO91+$AB92*BO92)/100</f>
        <v>0.36053174999999998</v>
      </c>
      <c r="BT90" s="90">
        <f>($AB90*BP90+$AB91*BP91+$AB92*BP92)/100</f>
        <v>0.89944349999999995</v>
      </c>
      <c r="BU90" s="8">
        <f>($AB90*BQ90+$AB91*BQ91+$AB92*BQ92)/100</f>
        <v>0.54016900000000012</v>
      </c>
      <c r="BV90" s="90">
        <f>($AB90*BR90+$AB91*BR91+$AB92*BR92)/100</f>
        <v>0.18089449999999999</v>
      </c>
      <c r="BW90" s="4">
        <f t="shared" si="24"/>
        <v>170</v>
      </c>
    </row>
    <row r="91" spans="1:75" thickTop="1" thickBot="1" x14ac:dyDescent="0.3">
      <c r="A91" s="4">
        <v>170</v>
      </c>
      <c r="B91" s="2">
        <v>19</v>
      </c>
      <c r="C91" s="2">
        <v>10</v>
      </c>
      <c r="E91" s="1">
        <v>69</v>
      </c>
      <c r="F91" s="1">
        <v>-69</v>
      </c>
      <c r="G91" s="3">
        <f t="shared" si="25"/>
        <v>138</v>
      </c>
      <c r="I91" s="2">
        <v>69</v>
      </c>
      <c r="J91" s="3">
        <f t="shared" si="32"/>
        <v>120.9375</v>
      </c>
      <c r="K91" s="6">
        <f t="shared" si="26"/>
        <v>234</v>
      </c>
      <c r="O91" s="54">
        <v>4.2000000000000003E-2</v>
      </c>
      <c r="P91" s="9">
        <v>9.2999999999999999E-2</v>
      </c>
      <c r="R91" s="10">
        <v>157</v>
      </c>
      <c r="S91" s="11">
        <v>68</v>
      </c>
      <c r="T91" s="12">
        <v>3400</v>
      </c>
      <c r="W91" s="13" t="e">
        <f t="shared" si="18"/>
        <v>#DIV/0!</v>
      </c>
      <c r="Z91" s="13" t="e">
        <f t="shared" si="27"/>
        <v>#DIV/0!</v>
      </c>
      <c r="AB91" s="72">
        <v>70</v>
      </c>
      <c r="AC91" s="72">
        <v>70</v>
      </c>
      <c r="AE91" s="5">
        <f t="shared" si="28"/>
        <v>170</v>
      </c>
      <c r="AG91" s="56"/>
      <c r="AK91" s="2">
        <v>600</v>
      </c>
      <c r="AL91" s="7">
        <f t="shared" si="19"/>
        <v>9.4199999999999992E-2</v>
      </c>
      <c r="AM91" s="8">
        <f t="shared" si="20"/>
        <v>-5.2199999999999989E-2</v>
      </c>
      <c r="AN91" s="56">
        <f t="shared" si="21"/>
        <v>4.0799999999999996E-2</v>
      </c>
      <c r="AO91" s="9">
        <f t="shared" si="22"/>
        <v>5.2200000000000003E-2</v>
      </c>
      <c r="AX91" s="147"/>
      <c r="BO91">
        <f t="shared" si="29"/>
        <v>0.4223325</v>
      </c>
      <c r="BP91">
        <f t="shared" si="23"/>
        <v>0.89686500000000002</v>
      </c>
      <c r="BQ91">
        <f t="shared" si="30"/>
        <v>0.58051000000000008</v>
      </c>
      <c r="BR91">
        <f t="shared" si="31"/>
        <v>0.26415499999999997</v>
      </c>
      <c r="BS91" s="8"/>
      <c r="BT91" s="90"/>
      <c r="BU91" s="8"/>
      <c r="BV91" s="90"/>
      <c r="BW91" s="4">
        <f t="shared" si="24"/>
        <v>170</v>
      </c>
    </row>
    <row r="92" spans="1:75" s="27" customFormat="1" thickTop="1" thickBot="1" x14ac:dyDescent="0.3">
      <c r="A92" s="21">
        <v>170</v>
      </c>
      <c r="B92" s="22">
        <v>19</v>
      </c>
      <c r="C92" s="22">
        <v>10</v>
      </c>
      <c r="D92" s="23"/>
      <c r="E92" s="24">
        <v>69</v>
      </c>
      <c r="F92" s="24">
        <v>-69</v>
      </c>
      <c r="G92" s="25">
        <f t="shared" si="25"/>
        <v>138</v>
      </c>
      <c r="H92" s="23"/>
      <c r="I92" s="22">
        <v>128</v>
      </c>
      <c r="J92" s="3">
        <f t="shared" si="32"/>
        <v>118.53260869565217</v>
      </c>
      <c r="K92" s="26">
        <f t="shared" si="26"/>
        <v>234</v>
      </c>
      <c r="L92" s="23"/>
      <c r="N92" s="23"/>
      <c r="O92" s="28">
        <v>0</v>
      </c>
      <c r="P92" s="29">
        <v>7.0999999999999994E-2</v>
      </c>
      <c r="Q92" s="23"/>
      <c r="R92" s="30">
        <v>102</v>
      </c>
      <c r="S92" s="31">
        <v>53</v>
      </c>
      <c r="T92" s="32">
        <v>2300</v>
      </c>
      <c r="U92" s="23"/>
      <c r="V92" s="33"/>
      <c r="W92" s="75" t="e">
        <f t="shared" si="18"/>
        <v>#DIV/0!</v>
      </c>
      <c r="X92" s="5"/>
      <c r="Y92" s="56"/>
      <c r="Z92" s="13" t="e">
        <f t="shared" si="27"/>
        <v>#DIV/0!</v>
      </c>
      <c r="AB92" s="27">
        <v>20</v>
      </c>
      <c r="AC92" s="27">
        <v>20</v>
      </c>
      <c r="AE92" s="5">
        <f t="shared" si="28"/>
        <v>170</v>
      </c>
      <c r="AF92" s="28"/>
      <c r="AG92" s="55"/>
      <c r="AH92" s="3"/>
      <c r="AJ92" s="5"/>
      <c r="AK92" s="2">
        <v>600</v>
      </c>
      <c r="AL92" s="7">
        <f t="shared" si="19"/>
        <v>6.1199999999999997E-2</v>
      </c>
      <c r="AM92" s="8">
        <f t="shared" si="20"/>
        <v>-6.1199999999999997E-2</v>
      </c>
      <c r="AN92" s="56">
        <f t="shared" si="21"/>
        <v>3.1800000000000002E-2</v>
      </c>
      <c r="AO92" s="9">
        <f t="shared" si="22"/>
        <v>3.9199999999999992E-2</v>
      </c>
      <c r="AP92" s="5"/>
      <c r="AQ92" s="91"/>
      <c r="AR92" s="5"/>
      <c r="AS92" s="96"/>
      <c r="AT92" s="5"/>
      <c r="AU92" s="30"/>
      <c r="AV92" s="31"/>
      <c r="AW92" s="32"/>
      <c r="AX92" s="147"/>
      <c r="BN92" s="5"/>
      <c r="BO92">
        <f t="shared" si="29"/>
        <v>0.24709500000000001</v>
      </c>
      <c r="BP92">
        <f t="shared" si="23"/>
        <v>0.55539000000000005</v>
      </c>
      <c r="BQ92">
        <f t="shared" si="30"/>
        <v>0.34986</v>
      </c>
      <c r="BR92">
        <f t="shared" si="31"/>
        <v>0.14433000000000001</v>
      </c>
      <c r="BS92" s="28"/>
      <c r="BT92" s="91"/>
      <c r="BU92" s="28"/>
      <c r="BV92" s="91"/>
      <c r="BW92" s="4">
        <f t="shared" si="24"/>
        <v>170</v>
      </c>
    </row>
    <row r="93" spans="1:75" thickTop="1" thickBot="1" x14ac:dyDescent="0.3">
      <c r="A93" s="15">
        <v>225</v>
      </c>
      <c r="B93" s="16">
        <v>23</v>
      </c>
      <c r="C93" s="16">
        <v>5</v>
      </c>
      <c r="D93" s="17"/>
      <c r="E93" s="1">
        <v>136</v>
      </c>
      <c r="F93" s="1">
        <v>14</v>
      </c>
      <c r="G93" s="18">
        <f t="shared" si="25"/>
        <v>122</v>
      </c>
      <c r="H93" s="17"/>
      <c r="I93" s="19">
        <v>10</v>
      </c>
      <c r="J93" s="3">
        <f t="shared" si="32"/>
        <v>100.7889344262295</v>
      </c>
      <c r="K93" s="20">
        <f t="shared" si="26"/>
        <v>174</v>
      </c>
      <c r="L93" s="17"/>
      <c r="N93" s="17"/>
      <c r="O93" s="8">
        <v>0.33300000000000002</v>
      </c>
      <c r="P93" s="9">
        <v>3.5999999999999997E-2</v>
      </c>
      <c r="Q93" s="17"/>
      <c r="R93" s="10">
        <v>187</v>
      </c>
      <c r="S93" s="11">
        <v>51</v>
      </c>
      <c r="T93" s="12">
        <v>1000</v>
      </c>
      <c r="U93" s="17"/>
      <c r="V93" s="7">
        <v>331</v>
      </c>
      <c r="W93" s="13">
        <f t="shared" si="18"/>
        <v>15.172721587195154</v>
      </c>
      <c r="Z93" s="13" t="e">
        <f t="shared" si="27"/>
        <v>#DIV/0!</v>
      </c>
      <c r="AB93">
        <f t="shared" ref="AB93:AC98" si="34">100/6</f>
        <v>16.666666666666668</v>
      </c>
      <c r="AC93">
        <f t="shared" si="34"/>
        <v>16.666666666666668</v>
      </c>
      <c r="AE93" s="5">
        <f t="shared" si="28"/>
        <v>225</v>
      </c>
      <c r="AF93" s="8">
        <f>(O93*AB93+O94*AB94+O95*AB95+O96*AB96+O97*AB97+O98*AB98)/100</f>
        <v>0.20783333333333334</v>
      </c>
      <c r="AG93" s="56">
        <f>(P93*AC93+P94*AC94+P95*AC95+P96*AC96+P97*AC97+P98*AC98)/100</f>
        <v>4.8666666666666671E-2</v>
      </c>
      <c r="AH93" s="3">
        <f>225-5.625*($B93-0.5)</f>
        <v>98.4375</v>
      </c>
      <c r="AI93">
        <f>K93</f>
        <v>174</v>
      </c>
      <c r="AK93" s="2">
        <v>1000</v>
      </c>
      <c r="AL93" s="7">
        <f t="shared" si="19"/>
        <v>0.187</v>
      </c>
      <c r="AM93" s="8">
        <f t="shared" si="20"/>
        <v>0.14600000000000002</v>
      </c>
      <c r="AN93" s="56">
        <f t="shared" si="21"/>
        <v>5.0999999999999997E-2</v>
      </c>
      <c r="AO93" s="9">
        <f t="shared" si="22"/>
        <v>-1.4999999999999999E-2</v>
      </c>
      <c r="AQ93" s="90">
        <f>($AB93*AM93+$AB94*AM94+$AB95*AM95+$AB96*AM96+$AB97*AM97+$AB98*AM98)/100</f>
        <v>9.4833333333333367E-2</v>
      </c>
      <c r="AS93" s="95">
        <f>($AB93*AO93+$AB94*AO94+$AB95*AO95+$AB96*AO96+$AB97*AO97+$AB98*AO98)/100</f>
        <v>1.776666666666667E-2</v>
      </c>
      <c r="AU93" s="10">
        <f>($AB93*R93+$AB94*R94+$AB95*R95+$AB96*R96+$AB97*R97+$AB98*R98)/100</f>
        <v>159.33333333333337</v>
      </c>
      <c r="AV93" s="11">
        <f>($AB93*S93+$AB94*S94+$AB95*S95+$AB96*S96+$AB97*S97+$AB98*S98)/100</f>
        <v>43.500000000000007</v>
      </c>
      <c r="AW93" s="12">
        <f>($AB93*T93+$AB94*T94+$AB95*T95+$AB96*T96+$AB97*T97+$AB98*T98)/100</f>
        <v>1083.3333333333335</v>
      </c>
      <c r="AX93" s="147">
        <f>($AB93*AK93+$AB94*AK94+$AB95*AK95+$AB96*AK96+$AB97*AK97+$AB98*AK98)/100</f>
        <v>700</v>
      </c>
      <c r="BO93">
        <f t="shared" si="29"/>
        <v>0.71120749999999999</v>
      </c>
      <c r="BP93">
        <f t="shared" si="23"/>
        <v>1.2764150000000001</v>
      </c>
      <c r="BQ93">
        <f t="shared" si="30"/>
        <v>0.89961000000000002</v>
      </c>
      <c r="BR93">
        <f t="shared" si="31"/>
        <v>0.52280499999999996</v>
      </c>
      <c r="BS93" s="8">
        <f>($AB93*BO93+$AB94*BO94+$AB95*BO95+$AB96*BO96+$AB97*BO97+$AB98*BO98)/100</f>
        <v>0.57641833333333325</v>
      </c>
      <c r="BT93" s="90">
        <f>($AB93*BP93+$AB94*BP94+$AB95*BP95+$AB96*BP96+$AB97*BP97+$AB98*BP98)/100</f>
        <v>1.0580033333333334</v>
      </c>
      <c r="BU93" s="8">
        <f>($AB93*BQ93+$AB94*BQ94+$AB95*BQ95+$AB96*BQ96+$AB97*BQ97+$AB98*BQ98)/100</f>
        <v>0.73694666666666664</v>
      </c>
      <c r="BV93" s="90">
        <f>($AB93*BR93+$AB94*BR94+$AB95*BR95+$AB96*BR96+$AB97*BR97+$AB98*BR98)/100</f>
        <v>0.41588999999999998</v>
      </c>
      <c r="BW93" s="4">
        <f t="shared" si="24"/>
        <v>225</v>
      </c>
    </row>
    <row r="94" spans="1:75" thickTop="1" thickBot="1" x14ac:dyDescent="0.3">
      <c r="A94" s="4">
        <v>225</v>
      </c>
      <c r="B94" s="93">
        <v>23</v>
      </c>
      <c r="C94" s="93">
        <v>5</v>
      </c>
      <c r="E94" s="1">
        <v>136</v>
      </c>
      <c r="F94" s="1">
        <v>14</v>
      </c>
      <c r="G94" s="3">
        <f t="shared" si="25"/>
        <v>122</v>
      </c>
      <c r="I94" s="2">
        <v>30</v>
      </c>
      <c r="J94" s="3">
        <f t="shared" si="32"/>
        <v>99.866803278688536</v>
      </c>
      <c r="K94" s="6">
        <f t="shared" si="26"/>
        <v>174</v>
      </c>
      <c r="O94" s="8">
        <v>0.17399999999999999</v>
      </c>
      <c r="P94" s="9">
        <v>5.8000000000000003E-2</v>
      </c>
      <c r="R94" s="10">
        <v>165</v>
      </c>
      <c r="S94" s="11">
        <v>40</v>
      </c>
      <c r="T94" s="12">
        <v>1000</v>
      </c>
      <c r="V94" s="7">
        <v>193</v>
      </c>
      <c r="W94" s="13">
        <f t="shared" si="18"/>
        <v>15.868631683374302</v>
      </c>
      <c r="Z94" s="13" t="e">
        <f t="shared" si="27"/>
        <v>#DIV/0!</v>
      </c>
      <c r="AB94">
        <f t="shared" si="34"/>
        <v>16.666666666666668</v>
      </c>
      <c r="AC94">
        <f t="shared" si="34"/>
        <v>16.666666666666668</v>
      </c>
      <c r="AE94" s="5">
        <f t="shared" si="28"/>
        <v>225</v>
      </c>
      <c r="AG94" s="56"/>
      <c r="AK94" s="2">
        <v>600</v>
      </c>
      <c r="AL94" s="7">
        <f t="shared" si="19"/>
        <v>9.8999999999999991E-2</v>
      </c>
      <c r="AM94" s="8">
        <f t="shared" si="20"/>
        <v>7.4999999999999997E-2</v>
      </c>
      <c r="AN94" s="56">
        <f t="shared" si="21"/>
        <v>2.4E-2</v>
      </c>
      <c r="AO94" s="9">
        <f t="shared" si="22"/>
        <v>3.4000000000000002E-2</v>
      </c>
      <c r="AX94" s="147"/>
      <c r="BO94">
        <f t="shared" si="29"/>
        <v>0.57371250000000007</v>
      </c>
      <c r="BP94">
        <f t="shared" si="23"/>
        <v>1.072425</v>
      </c>
      <c r="BQ94">
        <f t="shared" si="30"/>
        <v>0.73994999999999989</v>
      </c>
      <c r="BR94">
        <f t="shared" si="31"/>
        <v>0.40747499999999998</v>
      </c>
      <c r="BS94" s="8"/>
      <c r="BT94" s="90"/>
      <c r="BU94" s="8"/>
      <c r="BV94" s="90"/>
      <c r="BW94" s="4">
        <f t="shared" si="24"/>
        <v>225</v>
      </c>
    </row>
    <row r="95" spans="1:75" thickTop="1" thickBot="1" x14ac:dyDescent="0.3">
      <c r="A95" s="4">
        <v>225</v>
      </c>
      <c r="B95" s="2">
        <v>23</v>
      </c>
      <c r="C95" s="2">
        <v>5</v>
      </c>
      <c r="E95" s="1">
        <v>136</v>
      </c>
      <c r="F95" s="1">
        <v>14</v>
      </c>
      <c r="G95" s="3">
        <f t="shared" si="25"/>
        <v>122</v>
      </c>
      <c r="I95" s="2">
        <v>50</v>
      </c>
      <c r="J95" s="3">
        <f t="shared" si="32"/>
        <v>98.944672131147541</v>
      </c>
      <c r="K95" s="6">
        <f t="shared" si="26"/>
        <v>174</v>
      </c>
      <c r="O95" s="8">
        <v>0.16700000000000001</v>
      </c>
      <c r="P95" s="9">
        <v>4.4999999999999998E-2</v>
      </c>
      <c r="R95" s="10">
        <v>163</v>
      </c>
      <c r="S95" s="11">
        <v>49</v>
      </c>
      <c r="T95" s="12">
        <v>1200</v>
      </c>
      <c r="V95" s="7">
        <v>247</v>
      </c>
      <c r="W95" s="13">
        <f t="shared" si="18"/>
        <v>15.507605552099724</v>
      </c>
      <c r="Z95" s="13" t="e">
        <f t="shared" si="27"/>
        <v>#DIV/0!</v>
      </c>
      <c r="AB95">
        <f t="shared" si="34"/>
        <v>16.666666666666668</v>
      </c>
      <c r="AC95">
        <f t="shared" si="34"/>
        <v>16.666666666666668</v>
      </c>
      <c r="AE95" s="5">
        <f t="shared" si="28"/>
        <v>225</v>
      </c>
      <c r="AG95" s="56"/>
      <c r="AK95" s="2">
        <v>600</v>
      </c>
      <c r="AL95" s="7">
        <f t="shared" si="19"/>
        <v>9.7799999999999998E-2</v>
      </c>
      <c r="AM95" s="8">
        <f t="shared" si="20"/>
        <v>6.9200000000000012E-2</v>
      </c>
      <c r="AN95" s="56">
        <f t="shared" si="21"/>
        <v>2.9399999999999999E-2</v>
      </c>
      <c r="AO95" s="9">
        <f t="shared" si="22"/>
        <v>1.5599999999999999E-2</v>
      </c>
      <c r="AX95" s="147"/>
      <c r="BO95">
        <f t="shared" si="29"/>
        <v>0.56186749999999996</v>
      </c>
      <c r="BP95">
        <f t="shared" si="23"/>
        <v>1.054535</v>
      </c>
      <c r="BQ95">
        <f t="shared" si="30"/>
        <v>0.72609000000000001</v>
      </c>
      <c r="BR95">
        <f t="shared" si="31"/>
        <v>0.39764500000000003</v>
      </c>
      <c r="BS95" s="8"/>
      <c r="BT95" s="90"/>
      <c r="BU95" s="8"/>
      <c r="BV95" s="90"/>
      <c r="BW95" s="4">
        <f t="shared" si="24"/>
        <v>225</v>
      </c>
    </row>
    <row r="96" spans="1:75" thickTop="1" thickBot="1" x14ac:dyDescent="0.3">
      <c r="A96" s="4">
        <v>225</v>
      </c>
      <c r="B96" s="93">
        <v>23</v>
      </c>
      <c r="C96" s="93">
        <v>5</v>
      </c>
      <c r="E96" s="1">
        <v>136</v>
      </c>
      <c r="F96" s="1">
        <v>14</v>
      </c>
      <c r="G96" s="3">
        <f t="shared" si="25"/>
        <v>122</v>
      </c>
      <c r="I96" s="2">
        <v>70</v>
      </c>
      <c r="J96" s="3">
        <f t="shared" si="32"/>
        <v>98.022540983606547</v>
      </c>
      <c r="K96" s="6">
        <f t="shared" si="26"/>
        <v>174</v>
      </c>
      <c r="O96" s="8">
        <v>0.14000000000000001</v>
      </c>
      <c r="P96" s="9">
        <v>5.2999999999999999E-2</v>
      </c>
      <c r="R96" s="10">
        <v>153</v>
      </c>
      <c r="S96" s="11">
        <v>38</v>
      </c>
      <c r="T96" s="12">
        <v>900</v>
      </c>
      <c r="V96" s="7">
        <v>176</v>
      </c>
      <c r="W96" s="13">
        <f t="shared" si="18"/>
        <v>16.025547785276544</v>
      </c>
      <c r="Z96" s="13" t="e">
        <f t="shared" si="27"/>
        <v>#DIV/0!</v>
      </c>
      <c r="AB96">
        <f t="shared" si="34"/>
        <v>16.666666666666668</v>
      </c>
      <c r="AC96">
        <f t="shared" si="34"/>
        <v>16.666666666666668</v>
      </c>
      <c r="AE96" s="5">
        <f t="shared" si="28"/>
        <v>225</v>
      </c>
      <c r="AG96" s="56"/>
      <c r="AK96" s="2">
        <v>600</v>
      </c>
      <c r="AL96" s="7">
        <f t="shared" si="19"/>
        <v>9.1799999999999993E-2</v>
      </c>
      <c r="AM96" s="8">
        <f t="shared" si="20"/>
        <v>4.8200000000000021E-2</v>
      </c>
      <c r="AN96" s="56">
        <f t="shared" si="21"/>
        <v>2.2799999999999997E-2</v>
      </c>
      <c r="AO96" s="9">
        <f t="shared" si="22"/>
        <v>3.0200000000000001E-2</v>
      </c>
      <c r="AX96" s="147"/>
      <c r="BO96">
        <f t="shared" si="29"/>
        <v>0.5106425</v>
      </c>
      <c r="BP96">
        <f t="shared" si="23"/>
        <v>0.97308499999999998</v>
      </c>
      <c r="BQ96">
        <f t="shared" si="30"/>
        <v>0.66478999999999999</v>
      </c>
      <c r="BR96">
        <f t="shared" si="31"/>
        <v>0.35649500000000001</v>
      </c>
      <c r="BS96" s="8"/>
      <c r="BT96" s="90"/>
      <c r="BU96" s="8"/>
      <c r="BV96" s="90"/>
      <c r="BW96" s="4">
        <f t="shared" si="24"/>
        <v>225</v>
      </c>
    </row>
    <row r="97" spans="1:75" thickTop="1" thickBot="1" x14ac:dyDescent="0.3">
      <c r="A97" s="4">
        <v>225</v>
      </c>
      <c r="B97" s="93">
        <v>23</v>
      </c>
      <c r="C97" s="93">
        <v>5</v>
      </c>
      <c r="E97" s="1">
        <v>136</v>
      </c>
      <c r="F97" s="1">
        <v>14</v>
      </c>
      <c r="G97" s="3">
        <f t="shared" si="25"/>
        <v>122</v>
      </c>
      <c r="I97" s="2">
        <v>90</v>
      </c>
      <c r="J97" s="3">
        <f t="shared" si="32"/>
        <v>97.10040983606558</v>
      </c>
      <c r="K97" s="6">
        <f t="shared" si="26"/>
        <v>174</v>
      </c>
      <c r="O97" s="8">
        <v>0.193</v>
      </c>
      <c r="P97" s="9">
        <v>6.7000000000000004E-2</v>
      </c>
      <c r="R97" s="10">
        <v>140</v>
      </c>
      <c r="S97" s="11">
        <v>41</v>
      </c>
      <c r="T97" s="12">
        <v>1200</v>
      </c>
      <c r="V97" s="7">
        <v>250</v>
      </c>
      <c r="W97" s="13">
        <f t="shared" si="18"/>
        <v>15.491933384829668</v>
      </c>
      <c r="Z97" s="13" t="e">
        <f t="shared" si="27"/>
        <v>#DIV/0!</v>
      </c>
      <c r="AB97">
        <f t="shared" si="34"/>
        <v>16.666666666666668</v>
      </c>
      <c r="AC97">
        <f t="shared" si="34"/>
        <v>16.666666666666668</v>
      </c>
      <c r="AE97" s="5">
        <f t="shared" si="28"/>
        <v>225</v>
      </c>
      <c r="AG97" s="56"/>
      <c r="AK97" s="2">
        <v>600</v>
      </c>
      <c r="AL97" s="7">
        <f t="shared" si="19"/>
        <v>8.3999999999999991E-2</v>
      </c>
      <c r="AM97" s="8">
        <f t="shared" si="20"/>
        <v>0.10900000000000001</v>
      </c>
      <c r="AN97" s="56">
        <f t="shared" si="21"/>
        <v>2.46E-2</v>
      </c>
      <c r="AO97" s="9">
        <f t="shared" si="22"/>
        <v>4.2400000000000007E-2</v>
      </c>
      <c r="AX97" s="147"/>
      <c r="BO97">
        <f t="shared" si="29"/>
        <v>0.53215000000000001</v>
      </c>
      <c r="BP97">
        <f t="shared" si="23"/>
        <v>0.95530000000000004</v>
      </c>
      <c r="BQ97">
        <f t="shared" si="30"/>
        <v>0.67320000000000002</v>
      </c>
      <c r="BR97">
        <f t="shared" si="31"/>
        <v>0.3911</v>
      </c>
      <c r="BS97" s="8"/>
      <c r="BT97" s="90"/>
      <c r="BU97" s="8"/>
      <c r="BV97" s="90"/>
      <c r="BW97" s="4">
        <f t="shared" si="24"/>
        <v>225</v>
      </c>
    </row>
    <row r="98" spans="1:75" s="27" customFormat="1" thickTop="1" thickBot="1" x14ac:dyDescent="0.3">
      <c r="A98" s="21">
        <v>225</v>
      </c>
      <c r="B98" s="22">
        <v>23</v>
      </c>
      <c r="C98" s="22">
        <v>5</v>
      </c>
      <c r="D98" s="23"/>
      <c r="E98" s="49">
        <v>136</v>
      </c>
      <c r="F98" s="50">
        <v>14</v>
      </c>
      <c r="G98" s="25">
        <f t="shared" si="25"/>
        <v>122</v>
      </c>
      <c r="H98" s="23"/>
      <c r="I98" s="22">
        <v>110</v>
      </c>
      <c r="J98" s="3">
        <f t="shared" si="32"/>
        <v>96.178278688524586</v>
      </c>
      <c r="K98" s="26">
        <f t="shared" si="26"/>
        <v>174</v>
      </c>
      <c r="L98" s="23"/>
      <c r="N98" s="23"/>
      <c r="O98" s="28">
        <v>0.24</v>
      </c>
      <c r="P98" s="29">
        <v>3.3000000000000002E-2</v>
      </c>
      <c r="Q98" s="23"/>
      <c r="R98" s="30">
        <v>148</v>
      </c>
      <c r="S98" s="31">
        <v>42</v>
      </c>
      <c r="T98" s="32">
        <v>1200</v>
      </c>
      <c r="U98" s="23"/>
      <c r="V98" s="33">
        <v>298</v>
      </c>
      <c r="W98" s="75">
        <f t="shared" si="18"/>
        <v>15.282573310142039</v>
      </c>
      <c r="X98" s="5"/>
      <c r="Y98" s="56"/>
      <c r="Z98" s="13" t="e">
        <f t="shared" si="27"/>
        <v>#DIV/0!</v>
      </c>
      <c r="AB98" s="27">
        <f t="shared" si="34"/>
        <v>16.666666666666668</v>
      </c>
      <c r="AC98" s="27">
        <f t="shared" si="34"/>
        <v>16.666666666666668</v>
      </c>
      <c r="AE98" s="5">
        <f t="shared" si="28"/>
        <v>225</v>
      </c>
      <c r="AF98" s="28"/>
      <c r="AG98" s="55"/>
      <c r="AH98" s="3"/>
      <c r="AJ98" s="5"/>
      <c r="AK98" s="2">
        <v>800</v>
      </c>
      <c r="AL98" s="7">
        <f t="shared" si="19"/>
        <v>0.11839999999999999</v>
      </c>
      <c r="AM98" s="8">
        <f t="shared" si="20"/>
        <v>0.1216</v>
      </c>
      <c r="AN98" s="56">
        <f t="shared" si="21"/>
        <v>3.3599999999999998E-2</v>
      </c>
      <c r="AO98" s="9">
        <f t="shared" si="22"/>
        <v>-5.9999999999999637E-4</v>
      </c>
      <c r="AP98" s="5"/>
      <c r="AQ98" s="91"/>
      <c r="AR98" s="5"/>
      <c r="AS98" s="96"/>
      <c r="AT98" s="5"/>
      <c r="AU98" s="30"/>
      <c r="AV98" s="31"/>
      <c r="AW98" s="32"/>
      <c r="AX98" s="147"/>
      <c r="BN98" s="5"/>
      <c r="BO98">
        <f t="shared" si="29"/>
        <v>0.56892999999999994</v>
      </c>
      <c r="BP98">
        <f t="shared" si="23"/>
        <v>1.0162599999999999</v>
      </c>
      <c r="BQ98">
        <f t="shared" si="30"/>
        <v>0.71804000000000001</v>
      </c>
      <c r="BR98">
        <f t="shared" si="31"/>
        <v>0.41981999999999997</v>
      </c>
      <c r="BS98" s="28"/>
      <c r="BT98" s="91"/>
      <c r="BU98" s="28"/>
      <c r="BV98" s="91"/>
      <c r="BW98" s="4">
        <f t="shared" si="24"/>
        <v>225</v>
      </c>
    </row>
    <row r="99" spans="1:75" thickTop="1" thickBot="1" x14ac:dyDescent="0.3">
      <c r="A99" s="15">
        <v>234</v>
      </c>
      <c r="B99" s="16">
        <v>24</v>
      </c>
      <c r="C99" s="16">
        <v>4</v>
      </c>
      <c r="D99" s="17"/>
      <c r="E99" s="1">
        <v>135</v>
      </c>
      <c r="F99" s="1">
        <v>7</v>
      </c>
      <c r="G99" s="18">
        <f t="shared" si="25"/>
        <v>128</v>
      </c>
      <c r="H99" s="17"/>
      <c r="I99" s="19">
        <v>10</v>
      </c>
      <c r="J99" s="3">
        <f t="shared" si="32"/>
        <v>95.185546875</v>
      </c>
      <c r="K99" s="20">
        <f t="shared" si="26"/>
        <v>162</v>
      </c>
      <c r="L99" s="17"/>
      <c r="N99" s="17"/>
      <c r="O99" s="8">
        <v>0.23799999999999999</v>
      </c>
      <c r="P99" s="9">
        <v>0.113</v>
      </c>
      <c r="Q99" s="17"/>
      <c r="R99" s="10">
        <v>160</v>
      </c>
      <c r="S99" s="11">
        <v>51</v>
      </c>
      <c r="T99" s="12">
        <v>1400</v>
      </c>
      <c r="U99" s="17"/>
      <c r="V99" s="7">
        <v>346</v>
      </c>
      <c r="W99" s="13">
        <f t="shared" si="18"/>
        <v>15.129498805447794</v>
      </c>
      <c r="Z99" s="13" t="e">
        <f t="shared" si="27"/>
        <v>#DIV/0!</v>
      </c>
      <c r="AB99">
        <v>10</v>
      </c>
      <c r="AC99">
        <v>10</v>
      </c>
      <c r="AE99" s="5">
        <f t="shared" si="28"/>
        <v>234</v>
      </c>
      <c r="AF99" s="8">
        <f>(O99*AB99+O100*AB100+O101*AB101)/100</f>
        <v>0.39880000000000004</v>
      </c>
      <c r="AG99" s="56">
        <f>(P99*AC99+P100*AC100+P101*AC101)/100</f>
        <v>0.10000000000000002</v>
      </c>
      <c r="AH99" s="3">
        <f>225-5.625*($B99-0.5)</f>
        <v>92.8125</v>
      </c>
      <c r="AI99">
        <f>K99</f>
        <v>162</v>
      </c>
      <c r="AK99" s="2">
        <v>900</v>
      </c>
      <c r="AL99" s="7">
        <f t="shared" si="19"/>
        <v>0.14399999999999999</v>
      </c>
      <c r="AM99" s="8">
        <f t="shared" si="20"/>
        <v>9.4E-2</v>
      </c>
      <c r="AN99" s="56">
        <f t="shared" si="21"/>
        <v>4.5899999999999996E-2</v>
      </c>
      <c r="AO99" s="9">
        <f t="shared" si="22"/>
        <v>6.7100000000000007E-2</v>
      </c>
      <c r="AQ99" s="90">
        <f>($AB99*AM99+$AB100*AM100+$AB101*AM101)/100</f>
        <v>0.15699000000000005</v>
      </c>
      <c r="AS99" s="95">
        <f>($AB99*AO99+$AB100*AO100+$AB101*AO101)/100</f>
        <v>4.4130000000000003E-2</v>
      </c>
      <c r="AU99" s="10">
        <f>($AB99*R99+$AB100*R100+$AB101*R101)/100</f>
        <v>248.3</v>
      </c>
      <c r="AV99" s="11">
        <f>($AB99*S99+$AB100*S100+$AB101*S101)/100</f>
        <v>59.5</v>
      </c>
      <c r="AW99" s="12">
        <f>($AB99*T99+$AB100*T100+$AB101*T101)/100</f>
        <v>1060</v>
      </c>
      <c r="AX99" s="147">
        <f>($AB99*AK99+$AB100*AK100+$AB101*AK101)/100</f>
        <v>960</v>
      </c>
      <c r="BO99">
        <f t="shared" si="29"/>
        <v>0.5776</v>
      </c>
      <c r="BP99">
        <f t="shared" si="23"/>
        <v>1.0611999999999999</v>
      </c>
      <c r="BQ99">
        <f t="shared" si="30"/>
        <v>0.73880000000000001</v>
      </c>
      <c r="BR99">
        <f t="shared" si="31"/>
        <v>0.41639999999999999</v>
      </c>
      <c r="BS99" s="8">
        <f>($AB99*BO99+$AB100*BO100+$AB101*BO101)/100</f>
        <v>0.90747674999999983</v>
      </c>
      <c r="BT99" s="90">
        <f>($AB99*BP99+$AB100*BP100+$AB101*BP101)/100</f>
        <v>1.6579634999999999</v>
      </c>
      <c r="BU99" s="8">
        <f>($AB99*BQ99+$AB100*BQ100+$AB101*BQ101)/100</f>
        <v>1.1576390000000001</v>
      </c>
      <c r="BV99" s="90">
        <f>($AB99*BR99+$AB100*BR100+$AB101*BR101)/100</f>
        <v>0.65731449999999991</v>
      </c>
      <c r="BW99" s="4">
        <f t="shared" si="24"/>
        <v>234</v>
      </c>
    </row>
    <row r="100" spans="1:75" thickTop="1" thickBot="1" x14ac:dyDescent="0.3">
      <c r="A100" s="4">
        <v>234</v>
      </c>
      <c r="B100" s="93">
        <v>24</v>
      </c>
      <c r="C100" s="93">
        <v>4</v>
      </c>
      <c r="E100" s="1">
        <v>135</v>
      </c>
      <c r="F100" s="1">
        <v>7</v>
      </c>
      <c r="G100" s="3">
        <f t="shared" si="25"/>
        <v>128</v>
      </c>
      <c r="I100" s="2">
        <v>64</v>
      </c>
      <c r="J100" s="3">
        <f t="shared" si="32"/>
        <v>92.8125</v>
      </c>
      <c r="K100" s="6">
        <f t="shared" si="26"/>
        <v>162</v>
      </c>
      <c r="O100" s="8">
        <v>0.435</v>
      </c>
      <c r="P100" s="9">
        <v>0.11</v>
      </c>
      <c r="R100" s="10">
        <v>270</v>
      </c>
      <c r="S100" s="11">
        <v>55</v>
      </c>
      <c r="T100" s="12">
        <v>1000</v>
      </c>
      <c r="V100" s="7">
        <v>622</v>
      </c>
      <c r="W100" s="13">
        <f t="shared" si="18"/>
        <v>14.699563613182756</v>
      </c>
      <c r="Z100" s="13" t="e">
        <f t="shared" si="27"/>
        <v>#DIV/0!</v>
      </c>
      <c r="AB100">
        <v>80</v>
      </c>
      <c r="AC100">
        <v>80</v>
      </c>
      <c r="AE100" s="5">
        <f t="shared" si="28"/>
        <v>234</v>
      </c>
      <c r="AG100" s="56"/>
      <c r="AK100" s="2">
        <v>1000</v>
      </c>
      <c r="AL100" s="7">
        <f t="shared" si="19"/>
        <v>0.26999999999999996</v>
      </c>
      <c r="AM100" s="8">
        <f t="shared" si="20"/>
        <v>0.16500000000000004</v>
      </c>
      <c r="AN100" s="56">
        <f t="shared" si="21"/>
        <v>5.5E-2</v>
      </c>
      <c r="AO100" s="9">
        <f t="shared" si="22"/>
        <v>5.5E-2</v>
      </c>
      <c r="AX100" s="147"/>
      <c r="BO100">
        <f t="shared" si="29"/>
        <v>0.98107499999999992</v>
      </c>
      <c r="BP100">
        <f t="shared" si="23"/>
        <v>1.79715</v>
      </c>
      <c r="BQ100">
        <f t="shared" si="30"/>
        <v>1.2531000000000001</v>
      </c>
      <c r="BR100">
        <f t="shared" si="31"/>
        <v>0.70904999999999996</v>
      </c>
      <c r="BS100" s="8"/>
      <c r="BT100" s="90"/>
      <c r="BU100" s="8"/>
      <c r="BV100" s="90"/>
      <c r="BW100" s="4">
        <f t="shared" si="24"/>
        <v>234</v>
      </c>
    </row>
    <row r="101" spans="1:75" s="27" customFormat="1" thickTop="1" thickBot="1" x14ac:dyDescent="0.3">
      <c r="A101" s="21">
        <v>234</v>
      </c>
      <c r="B101" s="22">
        <v>24</v>
      </c>
      <c r="C101" s="22">
        <v>4</v>
      </c>
      <c r="D101" s="23"/>
      <c r="E101" s="24">
        <v>135</v>
      </c>
      <c r="F101" s="24">
        <v>7</v>
      </c>
      <c r="G101" s="25">
        <f t="shared" si="25"/>
        <v>128</v>
      </c>
      <c r="H101" s="23"/>
      <c r="I101" s="22">
        <v>118</v>
      </c>
      <c r="J101" s="3">
        <f t="shared" si="32"/>
        <v>90.439453125</v>
      </c>
      <c r="K101" s="26">
        <f t="shared" si="26"/>
        <v>162</v>
      </c>
      <c r="L101" s="23"/>
      <c r="N101" s="23"/>
      <c r="O101" s="28">
        <v>0.27</v>
      </c>
      <c r="P101" s="29">
        <v>7.0000000000000001E-3</v>
      </c>
      <c r="Q101" s="23"/>
      <c r="R101" s="30">
        <v>163</v>
      </c>
      <c r="S101" s="31">
        <v>104</v>
      </c>
      <c r="T101" s="32">
        <v>1200</v>
      </c>
      <c r="U101" s="23"/>
      <c r="V101" s="33">
        <v>407</v>
      </c>
      <c r="W101" s="75">
        <f t="shared" si="18"/>
        <v>14.985660631751427</v>
      </c>
      <c r="X101" s="5"/>
      <c r="Y101" s="56"/>
      <c r="Z101" s="13" t="e">
        <f t="shared" si="27"/>
        <v>#DIV/0!</v>
      </c>
      <c r="AB101" s="27">
        <v>10</v>
      </c>
      <c r="AC101" s="27">
        <v>10</v>
      </c>
      <c r="AE101" s="5">
        <f t="shared" si="28"/>
        <v>234</v>
      </c>
      <c r="AF101" s="28"/>
      <c r="AG101" s="55"/>
      <c r="AH101" s="3"/>
      <c r="AJ101" s="5"/>
      <c r="AK101" s="2">
        <v>700</v>
      </c>
      <c r="AL101" s="7">
        <f t="shared" si="19"/>
        <v>0.11409999999999999</v>
      </c>
      <c r="AM101" s="8">
        <f t="shared" si="20"/>
        <v>0.15590000000000004</v>
      </c>
      <c r="AN101" s="56">
        <f t="shared" si="21"/>
        <v>7.2800000000000004E-2</v>
      </c>
      <c r="AO101" s="9">
        <f t="shared" si="22"/>
        <v>-6.5799999999999997E-2</v>
      </c>
      <c r="AP101" s="5"/>
      <c r="AQ101" s="91"/>
      <c r="AR101" s="5"/>
      <c r="AS101" s="96"/>
      <c r="AT101" s="5"/>
      <c r="AU101" s="30"/>
      <c r="AV101" s="31"/>
      <c r="AW101" s="32"/>
      <c r="AX101" s="147"/>
      <c r="BN101" s="5"/>
      <c r="BO101">
        <f t="shared" si="29"/>
        <v>0.64856749999999996</v>
      </c>
      <c r="BP101">
        <f t="shared" si="23"/>
        <v>1.141235</v>
      </c>
      <c r="BQ101">
        <f t="shared" si="30"/>
        <v>0.81279000000000001</v>
      </c>
      <c r="BR101">
        <f t="shared" si="31"/>
        <v>0.48434500000000003</v>
      </c>
      <c r="BS101" s="28"/>
      <c r="BT101" s="91"/>
      <c r="BU101" s="28"/>
      <c r="BV101" s="91"/>
      <c r="BW101" s="4">
        <f t="shared" si="24"/>
        <v>234</v>
      </c>
    </row>
    <row r="102" spans="1:75" thickTop="1" thickBot="1" x14ac:dyDescent="0.3">
      <c r="A102" s="15">
        <v>235</v>
      </c>
      <c r="B102" s="16">
        <v>24</v>
      </c>
      <c r="C102" s="16">
        <v>5</v>
      </c>
      <c r="D102" s="17"/>
      <c r="E102" s="1">
        <v>133</v>
      </c>
      <c r="F102" s="1">
        <v>11</v>
      </c>
      <c r="G102" s="18">
        <f t="shared" si="25"/>
        <v>122</v>
      </c>
      <c r="H102" s="17"/>
      <c r="I102" s="16">
        <v>10</v>
      </c>
      <c r="J102" s="3">
        <f t="shared" ref="J102:J107" si="35">225-5.625*(B102-0.5-(I102-0.5*G102)/G102)</f>
        <v>90.461065573770497</v>
      </c>
      <c r="K102" s="20">
        <f t="shared" si="26"/>
        <v>174</v>
      </c>
      <c r="L102" s="17"/>
      <c r="N102" s="17"/>
      <c r="O102" s="8">
        <v>0.159</v>
      </c>
      <c r="P102" s="9">
        <v>1.4E-2</v>
      </c>
      <c r="Q102" s="17"/>
      <c r="R102" s="10">
        <v>405</v>
      </c>
      <c r="S102" s="11">
        <v>17</v>
      </c>
      <c r="T102" s="12">
        <v>2070</v>
      </c>
      <c r="U102" s="17"/>
      <c r="V102" s="7">
        <v>0</v>
      </c>
      <c r="W102" s="13" t="e">
        <f t="shared" si="18"/>
        <v>#DIV/0!</v>
      </c>
      <c r="Z102" s="13" t="e">
        <f t="shared" si="27"/>
        <v>#DIV/0!</v>
      </c>
      <c r="AB102">
        <f t="shared" ref="AB102:AC107" si="36">100/6</f>
        <v>16.666666666666668</v>
      </c>
      <c r="AC102">
        <f t="shared" si="36"/>
        <v>16.666666666666668</v>
      </c>
      <c r="AE102" s="5">
        <f t="shared" si="28"/>
        <v>235</v>
      </c>
      <c r="AF102" s="8">
        <f>(O102*AB102+O103*AB103+O104*AB104+O105*AB105+O106*AB106+O107*AB107)/100</f>
        <v>0.22616666666666671</v>
      </c>
      <c r="AG102" s="56">
        <f>(P102*AC102+P103*AC103+P104*AC104+P105*AC105+P106*AC106+P107*AC107)/100</f>
        <v>4.1666666666666671E-2</v>
      </c>
      <c r="AH102" s="3">
        <f>225-5.625*($B102-0.5)</f>
        <v>92.8125</v>
      </c>
      <c r="AI102">
        <f>K102</f>
        <v>174</v>
      </c>
      <c r="AK102" s="2">
        <v>600</v>
      </c>
      <c r="AL102" s="7">
        <f t="shared" si="19"/>
        <v>0.24299999999999999</v>
      </c>
      <c r="AM102" s="8">
        <f t="shared" si="20"/>
        <v>-8.3999999999999991E-2</v>
      </c>
      <c r="AN102" s="56">
        <f t="shared" si="21"/>
        <v>1.0199999999999999E-2</v>
      </c>
      <c r="AO102" s="9">
        <f t="shared" si="22"/>
        <v>3.8000000000000013E-3</v>
      </c>
      <c r="AQ102" s="90">
        <f>($AB102*AM102+$AB103*AM103+$AB104*AM104+$AB105*AM105+$AB106*AM106+$AB107*AM107)/100</f>
        <v>6.8966666666666676E-2</v>
      </c>
      <c r="AS102" s="95">
        <f>($AB102*AO102+$AB103*AO103+$AB104*AO104+$AB105*AO105+$AB106*AO106+$AB107*AO107)/100</f>
        <v>1.6100000000000003E-2</v>
      </c>
      <c r="AU102" s="10">
        <f>($AB102*R102+$AB103*R103+$AB104*R104+$AB105*R105+$AB106*R106+$AB107*R107)/100</f>
        <v>247.66666666666669</v>
      </c>
      <c r="AV102" s="11">
        <f>($AB102*S102+$AB103*S103+$AB104*S104+$AB105*S105+$AB106*S106+$AB107*S107)/100</f>
        <v>39.000000000000007</v>
      </c>
      <c r="AW102" s="12">
        <f>($AB102*T102+$AB103*T103+$AB104*T104+$AB105*T105+$AB106*T106+$AB107*T107)/100</f>
        <v>1495.0000000000002</v>
      </c>
      <c r="AX102" s="147">
        <f>($AB103*AK103+$AB104*AK104+$AB105*AK105+$AB106*AK106+$AB107*AK107+$AB108*AK108)/100</f>
        <v>600.00000000000011</v>
      </c>
      <c r="BO102">
        <f t="shared" si="29"/>
        <v>1.1401125000000001</v>
      </c>
      <c r="BP102">
        <f t="shared" si="23"/>
        <v>2.3642249999999998</v>
      </c>
      <c r="BQ102">
        <f t="shared" si="30"/>
        <v>1.5481500000000001</v>
      </c>
      <c r="BR102">
        <f t="shared" si="31"/>
        <v>0.73207500000000003</v>
      </c>
      <c r="BS102" s="8">
        <f>($AB102*BO102+$AB103*BO103+$AB104*BO104+$AB105*BO105+$AB106*BO106+$AB107*BO107)/100</f>
        <v>0.81753916666666682</v>
      </c>
      <c r="BT102" s="90">
        <f>($AB102*BP102+$AB103*BP103+$AB104*BP104+$AB105*BP105+$AB106*BP106+$AB107*BP107)/100</f>
        <v>1.566111666666667</v>
      </c>
      <c r="BU102" s="8">
        <f>($AB102*BQ102+$AB103*BQ103+$AB104*BQ104+$AB105*BQ105+$AB106*BQ106+$AB107*BQ107)/100</f>
        <v>1.0670633333333337</v>
      </c>
      <c r="BV102" s="90">
        <f>($AB102*BR102+$AB103*BR103+$AB104*BR104+$AB105*BR105+$AB106*BR106+$AB107*BR107)/100</f>
        <v>0.56801500000000005</v>
      </c>
      <c r="BW102" s="4">
        <f t="shared" si="24"/>
        <v>235</v>
      </c>
    </row>
    <row r="103" spans="1:75" thickTop="1" thickBot="1" x14ac:dyDescent="0.3">
      <c r="A103" s="4">
        <v>235</v>
      </c>
      <c r="B103" s="93">
        <v>24</v>
      </c>
      <c r="C103" s="93">
        <v>5</v>
      </c>
      <c r="E103" s="1">
        <v>133</v>
      </c>
      <c r="F103" s="1">
        <v>11</v>
      </c>
      <c r="G103" s="3">
        <f t="shared" si="25"/>
        <v>122</v>
      </c>
      <c r="I103" s="2">
        <v>30</v>
      </c>
      <c r="J103" s="3">
        <f t="shared" si="35"/>
        <v>91.383196721311464</v>
      </c>
      <c r="K103" s="6">
        <f t="shared" si="26"/>
        <v>174</v>
      </c>
      <c r="O103" s="8">
        <v>0.184</v>
      </c>
      <c r="P103" s="9">
        <v>4.1000000000000002E-2</v>
      </c>
      <c r="R103" s="10">
        <v>205</v>
      </c>
      <c r="S103" s="11">
        <v>44</v>
      </c>
      <c r="T103" s="12">
        <v>1100</v>
      </c>
      <c r="V103" s="7">
        <v>220</v>
      </c>
      <c r="W103" s="13">
        <f t="shared" si="18"/>
        <v>15.666989036012808</v>
      </c>
      <c r="Z103" s="13" t="e">
        <f t="shared" si="27"/>
        <v>#DIV/0!</v>
      </c>
      <c r="AB103">
        <f t="shared" si="36"/>
        <v>16.666666666666668</v>
      </c>
      <c r="AC103">
        <f t="shared" si="36"/>
        <v>16.666666666666668</v>
      </c>
      <c r="AE103" s="5">
        <f t="shared" si="28"/>
        <v>235</v>
      </c>
      <c r="AG103" s="56"/>
      <c r="AK103" s="2">
        <v>600</v>
      </c>
      <c r="AL103" s="7">
        <f t="shared" si="19"/>
        <v>0.123</v>
      </c>
      <c r="AM103" s="8">
        <f t="shared" si="20"/>
        <v>6.0999999999999999E-2</v>
      </c>
      <c r="AN103" s="56">
        <f t="shared" si="21"/>
        <v>2.64E-2</v>
      </c>
      <c r="AO103" s="9">
        <f t="shared" si="22"/>
        <v>1.4600000000000002E-2</v>
      </c>
      <c r="AX103" s="147"/>
      <c r="BO103">
        <f t="shared" si="29"/>
        <v>0.68061250000000006</v>
      </c>
      <c r="BP103">
        <f t="shared" si="23"/>
        <v>1.300225</v>
      </c>
      <c r="BQ103">
        <f t="shared" si="30"/>
        <v>0.88715000000000011</v>
      </c>
      <c r="BR103">
        <f t="shared" si="31"/>
        <v>0.47407500000000002</v>
      </c>
      <c r="BS103" s="8"/>
      <c r="BT103" s="90"/>
      <c r="BU103" s="8"/>
      <c r="BV103" s="90"/>
      <c r="BW103" s="4">
        <f t="shared" si="24"/>
        <v>235</v>
      </c>
    </row>
    <row r="104" spans="1:75" thickTop="1" thickBot="1" x14ac:dyDescent="0.3">
      <c r="A104" s="4">
        <v>235</v>
      </c>
      <c r="B104" s="2">
        <v>24</v>
      </c>
      <c r="C104" s="2">
        <v>5</v>
      </c>
      <c r="E104" s="1">
        <v>133</v>
      </c>
      <c r="F104" s="1">
        <v>11</v>
      </c>
      <c r="G104" s="3">
        <f t="shared" si="25"/>
        <v>122</v>
      </c>
      <c r="I104" s="2">
        <v>50</v>
      </c>
      <c r="J104" s="3">
        <f t="shared" si="35"/>
        <v>92.305327868852459</v>
      </c>
      <c r="K104" s="6">
        <f t="shared" si="26"/>
        <v>174</v>
      </c>
      <c r="O104" s="8">
        <v>0.22800000000000001</v>
      </c>
      <c r="P104" s="9">
        <v>4.1000000000000002E-2</v>
      </c>
      <c r="R104" s="10">
        <v>240</v>
      </c>
      <c r="S104" s="11">
        <v>36</v>
      </c>
      <c r="T104" s="12">
        <v>1200</v>
      </c>
      <c r="V104" s="7">
        <v>295</v>
      </c>
      <c r="W104" s="13">
        <f t="shared" si="18"/>
        <v>15.293734177261802</v>
      </c>
      <c r="Z104" s="13" t="e">
        <f t="shared" si="27"/>
        <v>#DIV/0!</v>
      </c>
      <c r="AB104">
        <f t="shared" si="36"/>
        <v>16.666666666666668</v>
      </c>
      <c r="AC104">
        <f t="shared" si="36"/>
        <v>16.666666666666668</v>
      </c>
      <c r="AE104" s="5">
        <f t="shared" si="28"/>
        <v>235</v>
      </c>
      <c r="AG104" s="56"/>
      <c r="AK104" s="2">
        <v>600</v>
      </c>
      <c r="AL104" s="7">
        <f t="shared" si="19"/>
        <v>0.14399999999999999</v>
      </c>
      <c r="AM104" s="8">
        <f t="shared" si="20"/>
        <v>8.4000000000000019E-2</v>
      </c>
      <c r="AN104" s="56">
        <f t="shared" si="21"/>
        <v>2.1599999999999998E-2</v>
      </c>
      <c r="AO104" s="9">
        <f t="shared" si="22"/>
        <v>1.9400000000000004E-2</v>
      </c>
      <c r="AX104" s="147"/>
      <c r="BO104">
        <f t="shared" si="29"/>
        <v>0.80940000000000001</v>
      </c>
      <c r="BP104">
        <f t="shared" si="23"/>
        <v>1.5347999999999999</v>
      </c>
      <c r="BQ104">
        <f t="shared" si="30"/>
        <v>1.0512000000000001</v>
      </c>
      <c r="BR104">
        <f t="shared" si="31"/>
        <v>0.56759999999999999</v>
      </c>
      <c r="BS104" s="8"/>
      <c r="BT104" s="90"/>
      <c r="BU104" s="8"/>
      <c r="BV104" s="90"/>
      <c r="BW104" s="4">
        <f t="shared" si="24"/>
        <v>235</v>
      </c>
    </row>
    <row r="105" spans="1:75" thickTop="1" thickBot="1" x14ac:dyDescent="0.3">
      <c r="A105" s="4">
        <v>235</v>
      </c>
      <c r="B105" s="93">
        <v>24</v>
      </c>
      <c r="C105" s="93">
        <v>5</v>
      </c>
      <c r="E105" s="1">
        <v>133</v>
      </c>
      <c r="F105" s="1">
        <v>11</v>
      </c>
      <c r="G105" s="3">
        <f t="shared" si="25"/>
        <v>122</v>
      </c>
      <c r="I105" s="2">
        <v>70</v>
      </c>
      <c r="J105" s="3">
        <f t="shared" si="35"/>
        <v>93.227459016393453</v>
      </c>
      <c r="K105" s="6">
        <f t="shared" si="26"/>
        <v>174</v>
      </c>
      <c r="O105" s="8">
        <v>0.252</v>
      </c>
      <c r="P105" s="9">
        <v>5.5E-2</v>
      </c>
      <c r="R105" s="10">
        <v>184</v>
      </c>
      <c r="S105" s="11">
        <v>36</v>
      </c>
      <c r="T105" s="12">
        <v>1100</v>
      </c>
      <c r="V105" s="7">
        <v>237</v>
      </c>
      <c r="W105" s="13">
        <f t="shared" si="18"/>
        <v>15.562586315487675</v>
      </c>
      <c r="Z105" s="13" t="e">
        <f t="shared" si="27"/>
        <v>#DIV/0!</v>
      </c>
      <c r="AB105">
        <f t="shared" si="36"/>
        <v>16.666666666666668</v>
      </c>
      <c r="AC105">
        <f t="shared" si="36"/>
        <v>16.666666666666668</v>
      </c>
      <c r="AE105" s="5">
        <f t="shared" si="28"/>
        <v>235</v>
      </c>
      <c r="AG105" s="56"/>
      <c r="AK105" s="2">
        <v>800</v>
      </c>
      <c r="AL105" s="7">
        <f t="shared" si="19"/>
        <v>0.1472</v>
      </c>
      <c r="AM105" s="8">
        <f t="shared" si="20"/>
        <v>0.1048</v>
      </c>
      <c r="AN105" s="56">
        <f t="shared" si="21"/>
        <v>2.8799999999999999E-2</v>
      </c>
      <c r="AO105" s="9">
        <f t="shared" si="22"/>
        <v>2.6200000000000001E-2</v>
      </c>
      <c r="AX105" s="147"/>
      <c r="BO105">
        <f t="shared" si="29"/>
        <v>0.66094000000000008</v>
      </c>
      <c r="BP105">
        <f t="shared" si="23"/>
        <v>1.2170800000000002</v>
      </c>
      <c r="BQ105">
        <f t="shared" si="30"/>
        <v>0.84631999999999996</v>
      </c>
      <c r="BR105">
        <f t="shared" si="31"/>
        <v>0.47555999999999998</v>
      </c>
      <c r="BS105" s="8"/>
      <c r="BT105" s="90"/>
      <c r="BU105" s="8"/>
      <c r="BV105" s="90"/>
      <c r="BW105" s="4">
        <f t="shared" si="24"/>
        <v>235</v>
      </c>
    </row>
    <row r="106" spans="1:75" thickTop="1" thickBot="1" x14ac:dyDescent="0.3">
      <c r="A106" s="4">
        <v>235</v>
      </c>
      <c r="B106" s="93">
        <v>24</v>
      </c>
      <c r="C106" s="93">
        <v>5</v>
      </c>
      <c r="E106" s="1">
        <v>133</v>
      </c>
      <c r="F106" s="1">
        <v>11</v>
      </c>
      <c r="G106" s="3">
        <f t="shared" si="25"/>
        <v>122</v>
      </c>
      <c r="I106" s="2">
        <v>90</v>
      </c>
      <c r="J106" s="3">
        <f t="shared" si="35"/>
        <v>94.14959016393442</v>
      </c>
      <c r="K106" s="6">
        <f t="shared" si="26"/>
        <v>174</v>
      </c>
      <c r="O106" s="8">
        <v>0.26600000000000001</v>
      </c>
      <c r="P106" s="9">
        <v>7.4999999999999997E-2</v>
      </c>
      <c r="R106" s="10">
        <v>200</v>
      </c>
      <c r="S106" s="11">
        <v>53</v>
      </c>
      <c r="T106" s="12">
        <v>1200</v>
      </c>
      <c r="V106" s="7">
        <v>292</v>
      </c>
      <c r="W106" s="13">
        <f t="shared" si="18"/>
        <v>15.305115985920063</v>
      </c>
      <c r="Z106" s="13" t="e">
        <f t="shared" si="27"/>
        <v>#DIV/0!</v>
      </c>
      <c r="AB106">
        <f t="shared" si="36"/>
        <v>16.666666666666668</v>
      </c>
      <c r="AC106">
        <f t="shared" si="36"/>
        <v>16.666666666666668</v>
      </c>
      <c r="AE106" s="5">
        <f t="shared" si="28"/>
        <v>235</v>
      </c>
      <c r="AG106" s="56"/>
      <c r="AK106" s="2">
        <v>800</v>
      </c>
      <c r="AL106" s="7">
        <f t="shared" si="19"/>
        <v>0.16</v>
      </c>
      <c r="AM106" s="8">
        <f t="shared" si="20"/>
        <v>0.10600000000000001</v>
      </c>
      <c r="AN106" s="56">
        <f t="shared" si="21"/>
        <v>4.24E-2</v>
      </c>
      <c r="AO106" s="9">
        <f t="shared" si="22"/>
        <v>3.2599999999999997E-2</v>
      </c>
      <c r="AX106" s="147"/>
      <c r="BO106">
        <f t="shared" si="29"/>
        <v>0.71050000000000002</v>
      </c>
      <c r="BP106">
        <f t="shared" si="23"/>
        <v>1.3149999999999999</v>
      </c>
      <c r="BQ106">
        <f t="shared" si="30"/>
        <v>0.91200000000000003</v>
      </c>
      <c r="BR106">
        <f t="shared" si="31"/>
        <v>0.50900000000000001</v>
      </c>
      <c r="BS106" s="8"/>
      <c r="BT106" s="90"/>
      <c r="BU106" s="8"/>
      <c r="BV106" s="90"/>
      <c r="BW106" s="4">
        <f t="shared" si="24"/>
        <v>235</v>
      </c>
    </row>
    <row r="107" spans="1:75" s="27" customFormat="1" thickTop="1" thickBot="1" x14ac:dyDescent="0.3">
      <c r="A107" s="21">
        <v>235</v>
      </c>
      <c r="B107" s="22">
        <v>24</v>
      </c>
      <c r="C107" s="22">
        <v>5</v>
      </c>
      <c r="D107" s="23"/>
      <c r="E107" s="49">
        <v>133</v>
      </c>
      <c r="F107" s="50">
        <v>11</v>
      </c>
      <c r="G107" s="25">
        <f t="shared" si="25"/>
        <v>122</v>
      </c>
      <c r="H107" s="23"/>
      <c r="I107" s="86">
        <v>110</v>
      </c>
      <c r="J107" s="3">
        <f t="shared" si="35"/>
        <v>95.071721311475414</v>
      </c>
      <c r="K107" s="26">
        <f t="shared" si="26"/>
        <v>174</v>
      </c>
      <c r="L107" s="23"/>
      <c r="N107" s="23"/>
      <c r="O107" s="28">
        <v>0.26800000000000002</v>
      </c>
      <c r="P107" s="29">
        <v>2.4E-2</v>
      </c>
      <c r="Q107" s="23"/>
      <c r="R107" s="30">
        <v>252</v>
      </c>
      <c r="S107" s="31">
        <v>48</v>
      </c>
      <c r="T107" s="32">
        <v>2300</v>
      </c>
      <c r="U107" s="23"/>
      <c r="V107" s="33">
        <v>299</v>
      </c>
      <c r="W107" s="75">
        <f t="shared" si="18"/>
        <v>15.278901009349847</v>
      </c>
      <c r="X107" s="5"/>
      <c r="Y107" s="56"/>
      <c r="Z107" s="13" t="e">
        <f t="shared" si="27"/>
        <v>#DIV/0!</v>
      </c>
      <c r="AB107" s="27">
        <f t="shared" si="36"/>
        <v>16.666666666666668</v>
      </c>
      <c r="AC107" s="27">
        <f t="shared" si="36"/>
        <v>16.666666666666668</v>
      </c>
      <c r="AE107" s="5">
        <f t="shared" si="28"/>
        <v>235</v>
      </c>
      <c r="AF107" s="28"/>
      <c r="AG107" s="55"/>
      <c r="AH107" s="3"/>
      <c r="AJ107" s="5"/>
      <c r="AK107" s="2">
        <v>500</v>
      </c>
      <c r="AL107" s="7">
        <f t="shared" si="19"/>
        <v>0.126</v>
      </c>
      <c r="AM107" s="8">
        <f t="shared" si="20"/>
        <v>0.14200000000000002</v>
      </c>
      <c r="AN107" s="56">
        <f t="shared" si="21"/>
        <v>2.4E-2</v>
      </c>
      <c r="AO107" s="9">
        <f t="shared" si="22"/>
        <v>0</v>
      </c>
      <c r="AP107" s="5"/>
      <c r="AQ107" s="91"/>
      <c r="AR107" s="5"/>
      <c r="AS107" s="96"/>
      <c r="AT107" s="5"/>
      <c r="AU107" s="30"/>
      <c r="AV107" s="31"/>
      <c r="AW107" s="32"/>
      <c r="AX107" s="147"/>
      <c r="BN107" s="5"/>
      <c r="BO107">
        <f t="shared" si="29"/>
        <v>0.90366999999999997</v>
      </c>
      <c r="BP107">
        <f t="shared" si="23"/>
        <v>1.66534</v>
      </c>
      <c r="BQ107">
        <f t="shared" si="30"/>
        <v>1.1575600000000001</v>
      </c>
      <c r="BR107">
        <f t="shared" si="31"/>
        <v>0.64978000000000002</v>
      </c>
      <c r="BS107" s="28"/>
      <c r="BT107" s="91"/>
      <c r="BU107" s="28"/>
      <c r="BV107" s="91"/>
      <c r="BW107" s="4">
        <f t="shared" si="24"/>
        <v>235</v>
      </c>
    </row>
    <row r="108" spans="1:75" thickTop="1" thickBot="1" x14ac:dyDescent="0.3">
      <c r="A108" s="15">
        <v>295</v>
      </c>
      <c r="B108" s="16">
        <v>28</v>
      </c>
      <c r="C108" s="16">
        <v>5</v>
      </c>
      <c r="D108" s="17"/>
      <c r="E108" s="1">
        <v>138</v>
      </c>
      <c r="F108" s="1">
        <v>17</v>
      </c>
      <c r="G108" s="18">
        <f t="shared" si="25"/>
        <v>121</v>
      </c>
      <c r="H108" s="17"/>
      <c r="I108" s="19">
        <v>10</v>
      </c>
      <c r="J108" s="3">
        <f t="shared" si="32"/>
        <v>72.660123966942137</v>
      </c>
      <c r="K108" s="20">
        <f t="shared" si="26"/>
        <v>174</v>
      </c>
      <c r="L108" s="17"/>
      <c r="N108" s="17"/>
      <c r="O108" s="8">
        <v>0.34</v>
      </c>
      <c r="P108" s="9">
        <v>4.2999999999999997E-2</v>
      </c>
      <c r="Q108" s="17"/>
      <c r="R108" s="10">
        <v>268</v>
      </c>
      <c r="S108" s="11">
        <v>52</v>
      </c>
      <c r="T108" s="12">
        <v>1450</v>
      </c>
      <c r="U108" s="17"/>
      <c r="V108" s="7">
        <v>718</v>
      </c>
      <c r="W108" s="13">
        <f t="shared" si="18"/>
        <v>14.626263248064125</v>
      </c>
      <c r="Z108" s="13" t="e">
        <f t="shared" si="27"/>
        <v>#DIV/0!</v>
      </c>
      <c r="AB108">
        <v>10</v>
      </c>
      <c r="AC108">
        <v>10</v>
      </c>
      <c r="AE108" s="5">
        <f t="shared" si="28"/>
        <v>295</v>
      </c>
      <c r="AF108" s="8">
        <f>(O108*AB108+O109*AB109+O110*AB110)/100</f>
        <v>0.31929999999999997</v>
      </c>
      <c r="AG108" s="56">
        <f>(P108*AC108+P109*AC109+P110*AC110)/100</f>
        <v>6.2499999999999993E-2</v>
      </c>
      <c r="AH108" s="3">
        <f>225-5.625*($B108-0.5)</f>
        <v>70.3125</v>
      </c>
      <c r="AI108">
        <f>K108</f>
        <v>174</v>
      </c>
      <c r="AK108" s="2">
        <v>500</v>
      </c>
      <c r="AL108" s="7">
        <f t="shared" si="19"/>
        <v>0.13399999999999998</v>
      </c>
      <c r="AM108" s="8">
        <f t="shared" si="20"/>
        <v>0.20600000000000004</v>
      </c>
      <c r="AN108" s="56">
        <f t="shared" si="21"/>
        <v>2.5999999999999999E-2</v>
      </c>
      <c r="AO108" s="9">
        <f t="shared" si="22"/>
        <v>1.6999999999999998E-2</v>
      </c>
      <c r="AQ108" s="90">
        <f>($AB108*AM108+$AB109*AM109+$AB110*AM110)/100</f>
        <v>0.17113</v>
      </c>
      <c r="AS108" s="95">
        <f>($AB108*AO108+$AB109*AO109+$AB110*AO110)/100</f>
        <v>2.904E-2</v>
      </c>
      <c r="AU108" s="10">
        <f>($AB108*R108+$AB109*R109+$AB110*R110)/100</f>
        <v>219.9</v>
      </c>
      <c r="AV108" s="11">
        <f>($AB108*S108+$AB109*S109+$AB110*S110)/100</f>
        <v>54.6</v>
      </c>
      <c r="AW108" s="12">
        <f>($AB108*T108+$AB109*T109+$AB110*T110)/100</f>
        <v>1035</v>
      </c>
      <c r="AX108" s="147">
        <f>($AB108*AK108+$AB109*AK109+$AB110*AK110)/100</f>
        <v>640</v>
      </c>
      <c r="BO108">
        <f t="shared" si="29"/>
        <v>1.01603</v>
      </c>
      <c r="BP108">
        <f t="shared" si="23"/>
        <v>1.82606</v>
      </c>
      <c r="BQ108">
        <f t="shared" si="30"/>
        <v>1.2860400000000001</v>
      </c>
      <c r="BR108">
        <f t="shared" si="31"/>
        <v>0.74602000000000002</v>
      </c>
      <c r="BS108" s="8">
        <f>($AB108*BO108+$AB109*BO109+$AB110*BO110)/100</f>
        <v>0.83577774999999999</v>
      </c>
      <c r="BT108" s="90">
        <f>($AB108*BP108+$AB109*BP109+$AB110*BP110)/100</f>
        <v>1.5004255</v>
      </c>
      <c r="BU108" s="8">
        <f>($AB108*BQ108+$AB109*BQ109+$AB110*BQ110)/100</f>
        <v>1.0573269999999999</v>
      </c>
      <c r="BV108" s="90">
        <f>($AB108*BR108+$AB109*BR109+$AB110*BR110)/100</f>
        <v>0.61422849999999996</v>
      </c>
      <c r="BW108" s="4">
        <f t="shared" si="24"/>
        <v>295</v>
      </c>
    </row>
    <row r="109" spans="1:75" thickTop="1" thickBot="1" x14ac:dyDescent="0.3">
      <c r="A109" s="4">
        <v>295</v>
      </c>
      <c r="B109" s="93">
        <v>28</v>
      </c>
      <c r="C109" s="93">
        <v>5</v>
      </c>
      <c r="E109" s="1">
        <v>138</v>
      </c>
      <c r="F109" s="1">
        <v>17</v>
      </c>
      <c r="G109" s="3">
        <f t="shared" si="25"/>
        <v>121</v>
      </c>
      <c r="I109" s="2">
        <v>61</v>
      </c>
      <c r="J109" s="3">
        <f t="shared" si="32"/>
        <v>70.28925619834709</v>
      </c>
      <c r="K109" s="6">
        <f t="shared" si="26"/>
        <v>174</v>
      </c>
      <c r="O109" s="8">
        <v>0.35699999999999998</v>
      </c>
      <c r="P109" s="9">
        <v>7.3999999999999996E-2</v>
      </c>
      <c r="R109" s="10">
        <v>273</v>
      </c>
      <c r="S109" s="11">
        <v>44</v>
      </c>
      <c r="T109" s="12">
        <v>900</v>
      </c>
      <c r="V109" s="7">
        <v>639</v>
      </c>
      <c r="W109" s="13">
        <f t="shared" si="18"/>
        <v>14.685007738137923</v>
      </c>
      <c r="Z109" s="13" t="e">
        <f t="shared" si="27"/>
        <v>#DIV/0!</v>
      </c>
      <c r="AB109">
        <v>70</v>
      </c>
      <c r="AC109">
        <v>70</v>
      </c>
      <c r="AE109" s="5">
        <f t="shared" si="28"/>
        <v>295</v>
      </c>
      <c r="AG109" s="56"/>
      <c r="AK109" s="2">
        <v>700</v>
      </c>
      <c r="AL109" s="7">
        <f t="shared" si="19"/>
        <v>0.19109999999999999</v>
      </c>
      <c r="AM109" s="8">
        <f t="shared" si="20"/>
        <v>0.16589999999999999</v>
      </c>
      <c r="AN109" s="56">
        <f t="shared" si="21"/>
        <v>3.0799999999999998E-2</v>
      </c>
      <c r="AO109" s="9">
        <f t="shared" si="22"/>
        <v>4.3200000000000002E-2</v>
      </c>
      <c r="AX109" s="147"/>
      <c r="BO109">
        <f t="shared" si="29"/>
        <v>0.99104249999999994</v>
      </c>
      <c r="BP109">
        <f t="shared" si="23"/>
        <v>1.8161849999999999</v>
      </c>
      <c r="BQ109">
        <f t="shared" si="30"/>
        <v>1.2660899999999999</v>
      </c>
      <c r="BR109">
        <f t="shared" si="31"/>
        <v>0.71599499999999994</v>
      </c>
      <c r="BS109" s="8"/>
      <c r="BT109" s="90"/>
      <c r="BU109" s="8"/>
      <c r="BV109" s="90"/>
      <c r="BW109" s="4">
        <f t="shared" si="24"/>
        <v>295</v>
      </c>
    </row>
    <row r="110" spans="1:75" s="27" customFormat="1" thickTop="1" thickBot="1" x14ac:dyDescent="0.3">
      <c r="A110" s="21">
        <v>295</v>
      </c>
      <c r="B110" s="22">
        <v>28</v>
      </c>
      <c r="C110" s="22">
        <v>5</v>
      </c>
      <c r="D110" s="23"/>
      <c r="E110" s="24">
        <v>138</v>
      </c>
      <c r="F110" s="24">
        <v>17</v>
      </c>
      <c r="G110" s="25">
        <f t="shared" si="25"/>
        <v>121</v>
      </c>
      <c r="H110" s="23"/>
      <c r="I110" s="22">
        <v>111</v>
      </c>
      <c r="J110" s="3">
        <f t="shared" si="32"/>
        <v>67.964876033057863</v>
      </c>
      <c r="K110" s="26">
        <f t="shared" si="26"/>
        <v>174</v>
      </c>
      <c r="L110" s="23"/>
      <c r="N110" s="23"/>
      <c r="O110" s="28">
        <v>0.17699999999999999</v>
      </c>
      <c r="P110" s="29">
        <v>3.2000000000000001E-2</v>
      </c>
      <c r="Q110" s="23"/>
      <c r="R110" s="30">
        <v>10</v>
      </c>
      <c r="S110" s="31">
        <v>93</v>
      </c>
      <c r="T110" s="32">
        <v>1300</v>
      </c>
      <c r="U110" s="23"/>
      <c r="V110" s="33">
        <v>221</v>
      </c>
      <c r="W110" s="75">
        <f t="shared" si="18"/>
        <v>15.660423646194269</v>
      </c>
      <c r="X110" s="5"/>
      <c r="Y110" s="56"/>
      <c r="Z110" s="13" t="e">
        <f t="shared" si="27"/>
        <v>#DIV/0!</v>
      </c>
      <c r="AB110" s="27">
        <v>20</v>
      </c>
      <c r="AC110" s="27">
        <v>20</v>
      </c>
      <c r="AE110" s="5">
        <f t="shared" si="28"/>
        <v>295</v>
      </c>
      <c r="AF110" s="28"/>
      <c r="AG110" s="55"/>
      <c r="AH110" s="3"/>
      <c r="AJ110" s="5"/>
      <c r="AK110" s="2">
        <v>500</v>
      </c>
      <c r="AL110" s="7">
        <f t="shared" si="19"/>
        <v>5.0000000000000001E-3</v>
      </c>
      <c r="AM110" s="8">
        <f t="shared" si="20"/>
        <v>0.17199999999999999</v>
      </c>
      <c r="AN110" s="56">
        <f t="shared" si="21"/>
        <v>4.65E-2</v>
      </c>
      <c r="AO110" s="9">
        <f t="shared" si="22"/>
        <v>-1.4499999999999999E-2</v>
      </c>
      <c r="AP110" s="5"/>
      <c r="AQ110" s="91"/>
      <c r="AR110" s="5"/>
      <c r="AS110" s="96"/>
      <c r="AT110" s="5"/>
      <c r="AU110" s="30"/>
      <c r="AV110" s="31"/>
      <c r="AW110" s="32"/>
      <c r="AX110" s="147"/>
      <c r="BN110" s="5"/>
      <c r="BO110">
        <f t="shared" si="29"/>
        <v>0.20222499999999999</v>
      </c>
      <c r="BP110">
        <f t="shared" si="23"/>
        <v>0.23244999999999999</v>
      </c>
      <c r="BQ110">
        <f t="shared" si="30"/>
        <v>0.21229999999999999</v>
      </c>
      <c r="BR110">
        <f t="shared" si="31"/>
        <v>0.19214999999999999</v>
      </c>
      <c r="BS110" s="28"/>
      <c r="BT110" s="91"/>
      <c r="BU110" s="28"/>
      <c r="BV110" s="91"/>
      <c r="BW110" s="4">
        <f t="shared" si="24"/>
        <v>295</v>
      </c>
    </row>
    <row r="111" spans="1:75" thickTop="1" thickBot="1" x14ac:dyDescent="0.3">
      <c r="A111" s="15">
        <v>304</v>
      </c>
      <c r="B111" s="16">
        <v>29</v>
      </c>
      <c r="C111" s="16">
        <v>4</v>
      </c>
      <c r="D111" s="17"/>
      <c r="E111" s="1">
        <v>135</v>
      </c>
      <c r="F111" s="1">
        <v>13</v>
      </c>
      <c r="G111" s="18">
        <f t="shared" si="25"/>
        <v>122</v>
      </c>
      <c r="H111" s="17"/>
      <c r="I111" s="19">
        <v>10</v>
      </c>
      <c r="J111" s="3">
        <f t="shared" si="32"/>
        <v>67.038934426229503</v>
      </c>
      <c r="K111" s="20">
        <f t="shared" si="26"/>
        <v>162</v>
      </c>
      <c r="L111" s="17"/>
      <c r="N111" s="17"/>
      <c r="O111" s="8">
        <v>0.64400000000000002</v>
      </c>
      <c r="P111" s="9">
        <v>0.14099999999999999</v>
      </c>
      <c r="Q111" s="17"/>
      <c r="R111" s="10">
        <v>395</v>
      </c>
      <c r="S111" s="11">
        <v>35</v>
      </c>
      <c r="T111" s="12">
        <v>1100</v>
      </c>
      <c r="U111" s="17"/>
      <c r="V111" s="7">
        <v>1298</v>
      </c>
      <c r="W111" s="13">
        <f t="shared" si="18"/>
        <v>14.411945054243484</v>
      </c>
      <c r="Z111" s="13" t="e">
        <f t="shared" si="27"/>
        <v>#DIV/0!</v>
      </c>
      <c r="AB111" s="72">
        <v>10</v>
      </c>
      <c r="AC111" s="72">
        <v>10</v>
      </c>
      <c r="AE111" s="5">
        <f t="shared" si="28"/>
        <v>304</v>
      </c>
      <c r="AF111" s="8">
        <f>(O111*AB111+O112*AB112+O113*AB113)/100</f>
        <v>0.23569999999999999</v>
      </c>
      <c r="AG111" s="56">
        <f>(P111*AC111+P112*AC112+P113*AC113)/100</f>
        <v>0.20399999999999999</v>
      </c>
      <c r="AH111" s="3">
        <f>225-5.625*($B111-0.5)</f>
        <v>64.6875</v>
      </c>
      <c r="AI111">
        <f>K111</f>
        <v>162</v>
      </c>
      <c r="AK111" s="2">
        <v>700</v>
      </c>
      <c r="AL111" s="7">
        <f t="shared" si="19"/>
        <v>0.27649999999999997</v>
      </c>
      <c r="AM111" s="8">
        <f t="shared" si="20"/>
        <v>0.36750000000000005</v>
      </c>
      <c r="AN111" s="56">
        <f t="shared" si="21"/>
        <v>2.4499999999999997E-2</v>
      </c>
      <c r="AO111" s="9">
        <f t="shared" si="22"/>
        <v>0.11649999999999999</v>
      </c>
      <c r="AQ111" s="90">
        <f>($AB111*AM111+$AB112*AM112+$AB113*AM113)/100</f>
        <v>0.19755</v>
      </c>
      <c r="AS111" s="95">
        <f>($AB111*AO111+$AB112*AO112+$AB113*AO113)/100</f>
        <v>0.13375000000000001</v>
      </c>
      <c r="AU111" s="10">
        <f>($AB111*R111+$AB112*R112+$AB113*R113)/100</f>
        <v>60.5</v>
      </c>
      <c r="AV111" s="11">
        <f>($AB111*S111+$AB112*S112+$AB113*S113)/100</f>
        <v>63.5</v>
      </c>
      <c r="AW111" s="12">
        <f>($AB111*T111+$AB112*T112+$AB113*T113)/100</f>
        <v>1010</v>
      </c>
      <c r="AX111" s="147">
        <f>($AB111*AK111+$AB112*AK112+$AB113*AK113)/100</f>
        <v>940</v>
      </c>
      <c r="BO111">
        <f t="shared" si="29"/>
        <v>1.5613874999999999</v>
      </c>
      <c r="BP111">
        <f t="shared" si="23"/>
        <v>2.7552750000000001</v>
      </c>
      <c r="BQ111">
        <f t="shared" si="30"/>
        <v>1.9593500000000001</v>
      </c>
      <c r="BR111">
        <f t="shared" si="31"/>
        <v>1.1634250000000002</v>
      </c>
      <c r="BS111" s="8">
        <f>($AB111*BO111+$AB112*BO112+$AB113*BO113)/100</f>
        <v>0.38041125000000003</v>
      </c>
      <c r="BT111" s="90">
        <f>($AB111*BP111+$AB112*BP112+$AB113*BP113)/100</f>
        <v>0.56327249999999995</v>
      </c>
      <c r="BU111" s="8">
        <f>($AB111*BQ111+$AB112*BQ112+$AB113*BQ113)/100</f>
        <v>0.44136500000000001</v>
      </c>
      <c r="BV111" s="90">
        <f>($AB111*BR111+$AB112*BR112+$AB113*BR113)/100</f>
        <v>0.31945750000000006</v>
      </c>
      <c r="BW111" s="4">
        <f t="shared" si="24"/>
        <v>304</v>
      </c>
    </row>
    <row r="112" spans="1:75" thickTop="1" thickBot="1" x14ac:dyDescent="0.3">
      <c r="A112" s="4">
        <v>304</v>
      </c>
      <c r="B112" s="2">
        <v>29</v>
      </c>
      <c r="C112" s="2">
        <v>4</v>
      </c>
      <c r="E112" s="1">
        <v>135</v>
      </c>
      <c r="F112" s="1">
        <v>13</v>
      </c>
      <c r="G112" s="3">
        <f t="shared" si="25"/>
        <v>122</v>
      </c>
      <c r="I112" s="2">
        <v>61</v>
      </c>
      <c r="J112" s="3">
        <f t="shared" si="32"/>
        <v>64.6875</v>
      </c>
      <c r="K112" s="6">
        <f t="shared" si="26"/>
        <v>162</v>
      </c>
      <c r="O112" s="8">
        <v>0.192</v>
      </c>
      <c r="P112" s="9">
        <v>0.28999999999999998</v>
      </c>
      <c r="R112" s="10">
        <v>0</v>
      </c>
      <c r="S112" s="11">
        <v>90</v>
      </c>
      <c r="T112" s="12">
        <v>1200</v>
      </c>
      <c r="V112" s="7">
        <v>137</v>
      </c>
      <c r="W112" s="13">
        <f t="shared" si="18"/>
        <v>16.522490754420989</v>
      </c>
      <c r="Z112" s="13" t="e">
        <f t="shared" si="27"/>
        <v>#DIV/0!</v>
      </c>
      <c r="AB112" s="72">
        <v>60</v>
      </c>
      <c r="AC112" s="72">
        <v>60</v>
      </c>
      <c r="AE112" s="5">
        <f t="shared" si="28"/>
        <v>304</v>
      </c>
      <c r="AG112" s="56"/>
      <c r="AK112" s="2">
        <v>1200</v>
      </c>
      <c r="AL112" s="7">
        <f t="shared" si="19"/>
        <v>0</v>
      </c>
      <c r="AM112" s="8">
        <f t="shared" si="20"/>
        <v>0.192</v>
      </c>
      <c r="AN112" s="56">
        <f t="shared" si="21"/>
        <v>0.108</v>
      </c>
      <c r="AO112" s="9">
        <f t="shared" si="22"/>
        <v>0.182</v>
      </c>
      <c r="AX112" s="147"/>
      <c r="BO112">
        <f t="shared" si="29"/>
        <v>0.192</v>
      </c>
      <c r="BP112">
        <f t="shared" si="23"/>
        <v>0.192</v>
      </c>
      <c r="BQ112">
        <f t="shared" si="30"/>
        <v>0.192</v>
      </c>
      <c r="BR112">
        <f t="shared" si="31"/>
        <v>0.192</v>
      </c>
      <c r="BS112" s="8"/>
      <c r="BT112" s="90"/>
      <c r="BU112" s="8"/>
      <c r="BV112" s="90"/>
      <c r="BW112" s="4">
        <f t="shared" si="24"/>
        <v>304</v>
      </c>
    </row>
    <row r="113" spans="1:75" s="27" customFormat="1" thickTop="1" thickBot="1" x14ac:dyDescent="0.3">
      <c r="A113" s="21">
        <v>304</v>
      </c>
      <c r="B113" s="22">
        <v>29</v>
      </c>
      <c r="C113" s="22">
        <v>4</v>
      </c>
      <c r="D113" s="23"/>
      <c r="E113" s="24">
        <v>135</v>
      </c>
      <c r="F113" s="24">
        <v>13</v>
      </c>
      <c r="G113" s="25">
        <f t="shared" si="25"/>
        <v>122</v>
      </c>
      <c r="H113" s="23"/>
      <c r="I113" s="22">
        <v>112</v>
      </c>
      <c r="J113" s="3">
        <f t="shared" si="32"/>
        <v>62.336065573770497</v>
      </c>
      <c r="K113" s="26">
        <f t="shared" si="26"/>
        <v>162</v>
      </c>
      <c r="L113" s="23"/>
      <c r="N113" s="23"/>
      <c r="O113" s="28">
        <v>0.187</v>
      </c>
      <c r="P113" s="29">
        <v>5.2999999999999999E-2</v>
      </c>
      <c r="Q113" s="23"/>
      <c r="R113" s="30">
        <v>70</v>
      </c>
      <c r="S113" s="31">
        <v>20</v>
      </c>
      <c r="T113" s="32">
        <v>600</v>
      </c>
      <c r="U113" s="23"/>
      <c r="V113" s="33">
        <v>268</v>
      </c>
      <c r="W113" s="75">
        <f t="shared" si="18"/>
        <v>15.404980780118519</v>
      </c>
      <c r="X113" s="5"/>
      <c r="Y113" s="56"/>
      <c r="Z113" s="13" t="e">
        <f t="shared" si="27"/>
        <v>#DIV/0!</v>
      </c>
      <c r="AB113" s="27">
        <v>30</v>
      </c>
      <c r="AC113" s="27">
        <v>30</v>
      </c>
      <c r="AE113" s="5">
        <f t="shared" si="28"/>
        <v>304</v>
      </c>
      <c r="AF113" s="28"/>
      <c r="AG113" s="55"/>
      <c r="AH113" s="3"/>
      <c r="AJ113" s="5"/>
      <c r="AK113" s="2">
        <v>500</v>
      </c>
      <c r="AL113" s="7">
        <f t="shared" si="19"/>
        <v>3.4999999999999996E-2</v>
      </c>
      <c r="AM113" s="8">
        <f t="shared" si="20"/>
        <v>0.152</v>
      </c>
      <c r="AN113" s="56">
        <f t="shared" si="21"/>
        <v>0.01</v>
      </c>
      <c r="AO113" s="9">
        <f t="shared" si="22"/>
        <v>4.2999999999999997E-2</v>
      </c>
      <c r="AP113" s="5"/>
      <c r="AQ113" s="91"/>
      <c r="AR113" s="5"/>
      <c r="AS113" s="96"/>
      <c r="AT113" s="5"/>
      <c r="AU113" s="30"/>
      <c r="AV113" s="31"/>
      <c r="AW113" s="32"/>
      <c r="AX113" s="147"/>
      <c r="BN113" s="5"/>
      <c r="BO113">
        <f t="shared" si="29"/>
        <v>0.36357499999999998</v>
      </c>
      <c r="BP113">
        <f t="shared" si="23"/>
        <v>0.57515000000000005</v>
      </c>
      <c r="BQ113">
        <f t="shared" si="30"/>
        <v>0.43409999999999999</v>
      </c>
      <c r="BR113">
        <f t="shared" si="31"/>
        <v>0.29305000000000003</v>
      </c>
      <c r="BS113" s="28"/>
      <c r="BT113" s="91"/>
      <c r="BU113" s="28"/>
      <c r="BV113" s="91"/>
      <c r="BW113" s="4">
        <f t="shared" si="24"/>
        <v>304</v>
      </c>
    </row>
    <row r="114" spans="1:75" thickTop="1" thickBot="1" x14ac:dyDescent="0.3">
      <c r="A114" s="15">
        <v>305</v>
      </c>
      <c r="B114" s="16">
        <v>29</v>
      </c>
      <c r="C114" s="16">
        <v>5</v>
      </c>
      <c r="D114" s="17"/>
      <c r="E114" s="1">
        <v>137</v>
      </c>
      <c r="F114" s="1">
        <v>8</v>
      </c>
      <c r="G114" s="18">
        <f t="shared" si="25"/>
        <v>129</v>
      </c>
      <c r="H114" s="17"/>
      <c r="I114" s="19">
        <v>10</v>
      </c>
      <c r="J114" s="3">
        <f t="shared" si="32"/>
        <v>67.063953488372078</v>
      </c>
      <c r="K114" s="20">
        <f t="shared" si="26"/>
        <v>174</v>
      </c>
      <c r="L114" s="17"/>
      <c r="N114" s="17"/>
      <c r="O114" s="8">
        <v>0.222</v>
      </c>
      <c r="P114" s="9">
        <v>0.17899999999999999</v>
      </c>
      <c r="Q114" s="17"/>
      <c r="R114" s="10">
        <v>200</v>
      </c>
      <c r="S114" s="11">
        <v>36</v>
      </c>
      <c r="T114" s="12">
        <v>1300</v>
      </c>
      <c r="U114" s="17"/>
      <c r="V114" s="7">
        <v>223</v>
      </c>
      <c r="W114" s="13">
        <f t="shared" si="18"/>
        <v>15.647461433962837</v>
      </c>
      <c r="Z114" s="13" t="e">
        <f t="shared" si="27"/>
        <v>#DIV/0!</v>
      </c>
      <c r="AB114" s="72">
        <v>10</v>
      </c>
      <c r="AC114" s="72">
        <v>10</v>
      </c>
      <c r="AE114" s="5">
        <f t="shared" si="28"/>
        <v>305</v>
      </c>
      <c r="AF114" s="8">
        <f>(O114*AB114+O115*AB115+O116*AB116+O117*AB117+O118*AB118+O119*AB119+O120*AB120)/100</f>
        <v>0.312</v>
      </c>
      <c r="AG114" s="56">
        <f>(P114*AC114+P115*AC115+P116*AC116+P117*AC117+P118*AC118+P119*AC119+P120*AC120)/100</f>
        <v>0.1007</v>
      </c>
      <c r="AH114" s="3">
        <f>225-5.625*($B114-0.5)</f>
        <v>64.6875</v>
      </c>
      <c r="AI114">
        <f>K114</f>
        <v>174</v>
      </c>
      <c r="AK114" s="2">
        <v>600</v>
      </c>
      <c r="AL114" s="7">
        <f t="shared" si="19"/>
        <v>0.12</v>
      </c>
      <c r="AM114" s="8">
        <f t="shared" si="20"/>
        <v>0.10200000000000001</v>
      </c>
      <c r="AN114" s="56">
        <f t="shared" si="21"/>
        <v>2.1599999999999998E-2</v>
      </c>
      <c r="AO114" s="9">
        <f t="shared" si="22"/>
        <v>0.15739999999999998</v>
      </c>
      <c r="AQ114" s="90">
        <f>($AB114*AM114+$AB115*AM115+$AB116*AM116+$AB117*AM117+$AB118*AM118+$AB119*AM119+$AB120*AM120)/100</f>
        <v>0.18770999999999996</v>
      </c>
      <c r="AS114" s="95">
        <f>($AB114*AO114+$AB115*AO115+$AB116*AO116+$AB117*AO117+$AB118*AO118+$AB119*AO119+$AB120*AO120)/100</f>
        <v>4.4509999999999994E-2</v>
      </c>
      <c r="AU114" s="10">
        <f>($AB114*R114+$AB115*R115+$AB116*R116+$AB117*R117+$AB118*R118+$AB119*R119+$AB120*R120)/100</f>
        <v>180.8</v>
      </c>
      <c r="AV114" s="11">
        <f>($AB114*S114+$AB115*S115+$AB116*S116+$AB117*S117+$AB118*S118+$AB119*S119+$AB120*S120)/100</f>
        <v>79.650000000000006</v>
      </c>
      <c r="AW114" s="12">
        <f>($AB114*T114+$AB115*T115+$AB116*T116+$AB117*T117+$AB118*T118+$AB119*T119+$AB120*T120)/100</f>
        <v>1958.5</v>
      </c>
      <c r="AX114" s="147">
        <f>($AB114*AK114+$AB115*AK115+$AB116*AK116+$AB117*AK117+$AB118*AK118+$AB119*AK119+AB120+AK120)/100</f>
        <v>606.15</v>
      </c>
      <c r="BO114">
        <f t="shared" si="29"/>
        <v>0.70650000000000002</v>
      </c>
      <c r="BP114">
        <f t="shared" si="23"/>
        <v>1.3109999999999999</v>
      </c>
      <c r="BQ114">
        <f t="shared" si="30"/>
        <v>0.90800000000000003</v>
      </c>
      <c r="BR114">
        <f t="shared" si="31"/>
        <v>0.505</v>
      </c>
      <c r="BS114" s="8">
        <f>($AB114*BO114+$AB115*BO115+$AB116*BO116+$AB117*BO117+$AB118*BO118+$AB119*BO119+$AB120*BO120)/100</f>
        <v>0.734178</v>
      </c>
      <c r="BT114" s="90">
        <f>($AB114*BP114+$AB115*BP115+$AB116*BP116+$AB117*BP117+$AB118*BP118+$AB119*BP119+$AB120*BP120)/100</f>
        <v>1.280646</v>
      </c>
      <c r="BU114" s="8">
        <f>($AB114*BQ114+$AB115*BQ115+$AB116*BQ116+$AB117*BQ117+$AB118*BQ118+$AB119*BQ119+$AB120*BQ120)/100</f>
        <v>0.91633399999999998</v>
      </c>
      <c r="BV114" s="90">
        <f>($AB114*BR114+$AB115*BR115+$AB116*BR116+$AB117*BR117+$AB118*BR118+$AB119*BR119+$AB120*BR120)/100</f>
        <v>0.55202200000000001</v>
      </c>
      <c r="BW114" s="4">
        <f t="shared" si="24"/>
        <v>305</v>
      </c>
    </row>
    <row r="115" spans="1:75" thickTop="1" thickBot="1" x14ac:dyDescent="0.3">
      <c r="A115" s="4">
        <v>305</v>
      </c>
      <c r="B115" s="2">
        <v>29</v>
      </c>
      <c r="C115" s="2">
        <v>5</v>
      </c>
      <c r="E115" s="1">
        <v>137</v>
      </c>
      <c r="F115" s="1">
        <v>8</v>
      </c>
      <c r="G115" s="3">
        <f t="shared" si="25"/>
        <v>129</v>
      </c>
      <c r="I115" s="2">
        <v>30</v>
      </c>
      <c r="J115" s="3">
        <f t="shared" si="32"/>
        <v>66.191860465116264</v>
      </c>
      <c r="K115" s="6">
        <f t="shared" si="26"/>
        <v>174</v>
      </c>
      <c r="O115" s="8">
        <v>0.46200000000000002</v>
      </c>
      <c r="P115" s="9">
        <v>8.7999999999999995E-2</v>
      </c>
      <c r="R115" s="10">
        <v>290</v>
      </c>
      <c r="S115" s="11">
        <v>41</v>
      </c>
      <c r="T115" s="12">
        <v>1500</v>
      </c>
      <c r="V115" s="7">
        <v>348</v>
      </c>
      <c r="W115" s="13">
        <f t="shared" si="18"/>
        <v>15.124008469447114</v>
      </c>
      <c r="Z115" s="13" t="e">
        <f t="shared" si="27"/>
        <v>#DIV/0!</v>
      </c>
      <c r="AB115" s="72">
        <v>15</v>
      </c>
      <c r="AC115" s="72">
        <v>15</v>
      </c>
      <c r="AE115" s="5">
        <f t="shared" si="28"/>
        <v>305</v>
      </c>
      <c r="AG115" s="56"/>
      <c r="AK115" s="2">
        <v>700</v>
      </c>
      <c r="AL115" s="7">
        <f t="shared" si="19"/>
        <v>0.20299999999999999</v>
      </c>
      <c r="AM115" s="8">
        <f t="shared" si="20"/>
        <v>0.25900000000000001</v>
      </c>
      <c r="AN115" s="56">
        <f t="shared" si="21"/>
        <v>2.87E-2</v>
      </c>
      <c r="AO115" s="9">
        <f t="shared" si="22"/>
        <v>5.9299999999999992E-2</v>
      </c>
      <c r="AX115" s="147"/>
      <c r="BO115">
        <f t="shared" si="29"/>
        <v>1.1355250000000001</v>
      </c>
      <c r="BP115">
        <f t="shared" si="23"/>
        <v>2.0120499999999999</v>
      </c>
      <c r="BQ115">
        <f t="shared" si="30"/>
        <v>1.4277</v>
      </c>
      <c r="BR115">
        <f t="shared" si="31"/>
        <v>0.84335000000000004</v>
      </c>
      <c r="BS115" s="8"/>
      <c r="BT115" s="90"/>
      <c r="BU115" s="8"/>
      <c r="BV115" s="90"/>
      <c r="BW115" s="4">
        <f t="shared" si="24"/>
        <v>305</v>
      </c>
    </row>
    <row r="116" spans="1:75" thickTop="1" thickBot="1" x14ac:dyDescent="0.3">
      <c r="A116" s="4">
        <v>305</v>
      </c>
      <c r="B116" s="93">
        <v>29</v>
      </c>
      <c r="C116" s="93">
        <v>5</v>
      </c>
      <c r="E116" s="1">
        <v>137</v>
      </c>
      <c r="F116" s="1">
        <v>8</v>
      </c>
      <c r="G116" s="3">
        <f t="shared" si="25"/>
        <v>129</v>
      </c>
      <c r="I116" s="2">
        <v>50</v>
      </c>
      <c r="J116" s="3">
        <f t="shared" si="32"/>
        <v>65.319767441860449</v>
      </c>
      <c r="K116" s="6">
        <f t="shared" si="26"/>
        <v>174</v>
      </c>
      <c r="O116" s="8">
        <v>0.35</v>
      </c>
      <c r="P116" s="9">
        <v>8.3000000000000004E-2</v>
      </c>
      <c r="R116" s="10">
        <v>180</v>
      </c>
      <c r="S116" s="11">
        <v>97</v>
      </c>
      <c r="T116" s="12">
        <v>2600</v>
      </c>
      <c r="V116" s="7">
        <v>113</v>
      </c>
      <c r="W116" s="13">
        <f t="shared" si="18"/>
        <v>16.98515749768718</v>
      </c>
      <c r="Z116" s="13" t="e">
        <f t="shared" si="27"/>
        <v>#DIV/0!</v>
      </c>
      <c r="AB116" s="72">
        <v>15</v>
      </c>
      <c r="AC116" s="72">
        <v>15</v>
      </c>
      <c r="AE116" s="5">
        <f t="shared" si="28"/>
        <v>305</v>
      </c>
      <c r="AG116" s="56"/>
      <c r="AK116" s="2">
        <v>700</v>
      </c>
      <c r="AL116" s="7">
        <f t="shared" si="19"/>
        <v>0.126</v>
      </c>
      <c r="AM116" s="8">
        <f t="shared" si="20"/>
        <v>0.22399999999999998</v>
      </c>
      <c r="AN116" s="56">
        <f t="shared" si="21"/>
        <v>6.7900000000000002E-2</v>
      </c>
      <c r="AO116" s="9">
        <f t="shared" si="22"/>
        <v>1.5100000000000002E-2</v>
      </c>
      <c r="AX116" s="147"/>
      <c r="BO116">
        <f t="shared" si="29"/>
        <v>0.7680499999999999</v>
      </c>
      <c r="BP116">
        <f t="shared" si="23"/>
        <v>1.3121</v>
      </c>
      <c r="BQ116">
        <f t="shared" si="30"/>
        <v>0.94940000000000002</v>
      </c>
      <c r="BR116">
        <f t="shared" si="31"/>
        <v>0.5867</v>
      </c>
      <c r="BS116" s="8"/>
      <c r="BT116" s="90"/>
      <c r="BU116" s="8"/>
      <c r="BV116" s="90"/>
      <c r="BW116" s="4">
        <f t="shared" si="24"/>
        <v>305</v>
      </c>
    </row>
    <row r="117" spans="1:75" thickTop="1" thickBot="1" x14ac:dyDescent="0.3">
      <c r="A117" s="4">
        <v>305</v>
      </c>
      <c r="B117" s="93">
        <v>29</v>
      </c>
      <c r="C117" s="93">
        <v>5</v>
      </c>
      <c r="E117" s="1">
        <v>137</v>
      </c>
      <c r="F117" s="1">
        <v>8</v>
      </c>
      <c r="G117" s="3">
        <f t="shared" si="25"/>
        <v>129</v>
      </c>
      <c r="I117" s="2">
        <v>70</v>
      </c>
      <c r="J117" s="3">
        <f t="shared" si="32"/>
        <v>64.447674418604635</v>
      </c>
      <c r="K117" s="6">
        <f t="shared" si="26"/>
        <v>174</v>
      </c>
      <c r="O117" s="8">
        <v>0.14099999999999999</v>
      </c>
      <c r="P117" s="9">
        <v>0.14099999999999999</v>
      </c>
      <c r="R117" s="10">
        <v>100</v>
      </c>
      <c r="S117" s="11">
        <v>120</v>
      </c>
      <c r="T117" s="12">
        <v>3000</v>
      </c>
      <c r="V117" s="7">
        <v>55</v>
      </c>
      <c r="W117" s="13">
        <f t="shared" si="18"/>
        <v>19.540168418367891</v>
      </c>
      <c r="Z117" s="13" t="e">
        <f t="shared" si="27"/>
        <v>#DIV/0!</v>
      </c>
      <c r="AB117" s="72">
        <v>15</v>
      </c>
      <c r="AC117" s="72">
        <v>15</v>
      </c>
      <c r="AE117" s="5">
        <f t="shared" si="28"/>
        <v>305</v>
      </c>
      <c r="AG117" s="56"/>
      <c r="AK117" s="2">
        <v>700</v>
      </c>
      <c r="AL117" s="7">
        <f t="shared" si="19"/>
        <v>6.9999999999999993E-2</v>
      </c>
      <c r="AM117" s="8">
        <f t="shared" si="20"/>
        <v>7.0999999999999994E-2</v>
      </c>
      <c r="AN117" s="56">
        <f t="shared" si="21"/>
        <v>8.3999999999999991E-2</v>
      </c>
      <c r="AO117" s="9">
        <f t="shared" si="22"/>
        <v>5.6999999999999995E-2</v>
      </c>
      <c r="AX117" s="147"/>
      <c r="BO117">
        <f t="shared" si="29"/>
        <v>0.37324999999999997</v>
      </c>
      <c r="BP117">
        <f t="shared" si="23"/>
        <v>0.67549999999999999</v>
      </c>
      <c r="BQ117">
        <f t="shared" si="30"/>
        <v>0.47399999999999998</v>
      </c>
      <c r="BR117">
        <f t="shared" si="31"/>
        <v>0.27249999999999996</v>
      </c>
      <c r="BS117" s="8"/>
      <c r="BT117" s="90"/>
      <c r="BU117" s="8"/>
      <c r="BV117" s="90"/>
      <c r="BW117" s="4">
        <f t="shared" si="24"/>
        <v>305</v>
      </c>
    </row>
    <row r="118" spans="1:75" thickTop="1" thickBot="1" x14ac:dyDescent="0.3">
      <c r="A118" s="4">
        <v>305</v>
      </c>
      <c r="B118" s="2">
        <v>29</v>
      </c>
      <c r="C118" s="2">
        <v>5</v>
      </c>
      <c r="E118" s="1">
        <v>137</v>
      </c>
      <c r="F118" s="1">
        <v>8</v>
      </c>
      <c r="G118" s="3">
        <f t="shared" si="25"/>
        <v>129</v>
      </c>
      <c r="I118" s="2">
        <v>90</v>
      </c>
      <c r="J118" s="3">
        <f t="shared" si="32"/>
        <v>63.57558139534882</v>
      </c>
      <c r="K118" s="6">
        <f t="shared" si="26"/>
        <v>174</v>
      </c>
      <c r="O118" s="8">
        <v>0.56999999999999995</v>
      </c>
      <c r="P118" s="9">
        <v>9.1999999999999998E-2</v>
      </c>
      <c r="R118" s="10">
        <v>190</v>
      </c>
      <c r="S118" s="11">
        <v>100</v>
      </c>
      <c r="T118" s="12">
        <v>1800</v>
      </c>
      <c r="V118" s="7">
        <v>742</v>
      </c>
      <c r="W118" s="13">
        <f t="shared" si="18"/>
        <v>14.610855175135612</v>
      </c>
      <c r="Z118" s="13" t="e">
        <f t="shared" si="27"/>
        <v>#DIV/0!</v>
      </c>
      <c r="AB118" s="72">
        <v>15</v>
      </c>
      <c r="AC118" s="72">
        <v>15</v>
      </c>
      <c r="AE118" s="5">
        <f t="shared" si="28"/>
        <v>305</v>
      </c>
      <c r="AG118" s="56"/>
      <c r="AK118" s="2">
        <v>700</v>
      </c>
      <c r="AL118" s="7">
        <f t="shared" si="19"/>
        <v>0.13300000000000001</v>
      </c>
      <c r="AM118" s="8">
        <f t="shared" si="20"/>
        <v>0.43699999999999994</v>
      </c>
      <c r="AN118" s="56">
        <f t="shared" si="21"/>
        <v>6.9999999999999993E-2</v>
      </c>
      <c r="AO118" s="9">
        <f t="shared" si="22"/>
        <v>2.2000000000000006E-2</v>
      </c>
      <c r="AX118" s="147"/>
      <c r="BO118">
        <f t="shared" si="29"/>
        <v>1.0112749999999999</v>
      </c>
      <c r="BP118">
        <f t="shared" si="23"/>
        <v>1.58555</v>
      </c>
      <c r="BQ118">
        <f t="shared" si="30"/>
        <v>1.2027000000000001</v>
      </c>
      <c r="BR118">
        <f t="shared" si="31"/>
        <v>0.81984999999999997</v>
      </c>
      <c r="BS118" s="8"/>
      <c r="BT118" s="90"/>
      <c r="BU118" s="8"/>
      <c r="BV118" s="90"/>
      <c r="BW118" s="4">
        <f t="shared" si="24"/>
        <v>305</v>
      </c>
    </row>
    <row r="119" spans="1:75" thickTop="1" thickBot="1" x14ac:dyDescent="0.3">
      <c r="A119" s="4">
        <v>305</v>
      </c>
      <c r="B119" s="93">
        <v>29</v>
      </c>
      <c r="C119" s="93">
        <v>5</v>
      </c>
      <c r="E119" s="1">
        <v>137</v>
      </c>
      <c r="F119" s="1">
        <v>8</v>
      </c>
      <c r="G119" s="3">
        <f t="shared" si="25"/>
        <v>129</v>
      </c>
      <c r="I119" s="2">
        <v>110</v>
      </c>
      <c r="J119" s="3">
        <f t="shared" si="32"/>
        <v>62.703488372093005</v>
      </c>
      <c r="K119" s="6">
        <f t="shared" si="26"/>
        <v>174</v>
      </c>
      <c r="O119" s="8">
        <v>0.24</v>
      </c>
      <c r="P119" s="9">
        <v>0.104</v>
      </c>
      <c r="R119" s="10">
        <v>147</v>
      </c>
      <c r="S119" s="11">
        <v>101</v>
      </c>
      <c r="T119" s="12">
        <v>1100</v>
      </c>
      <c r="V119" s="7">
        <v>257</v>
      </c>
      <c r="W119" s="13">
        <f t="shared" si="18"/>
        <v>15.456730114632133</v>
      </c>
      <c r="Z119" s="13" t="e">
        <f t="shared" si="27"/>
        <v>#DIV/0!</v>
      </c>
      <c r="AB119" s="72">
        <v>15</v>
      </c>
      <c r="AC119" s="72">
        <v>15</v>
      </c>
      <c r="AE119" s="5">
        <f t="shared" si="28"/>
        <v>305</v>
      </c>
      <c r="AG119" s="56"/>
      <c r="AK119" s="2">
        <v>800</v>
      </c>
      <c r="AL119" s="7">
        <f t="shared" si="19"/>
        <v>0.1176</v>
      </c>
      <c r="AM119" s="8">
        <f t="shared" si="20"/>
        <v>0.12239999999999999</v>
      </c>
      <c r="AN119" s="56">
        <f t="shared" si="21"/>
        <v>8.0799999999999997E-2</v>
      </c>
      <c r="AO119" s="9">
        <f t="shared" si="22"/>
        <v>2.3199999999999998E-2</v>
      </c>
      <c r="AX119" s="147"/>
      <c r="BO119">
        <f t="shared" si="29"/>
        <v>0.56670749999999992</v>
      </c>
      <c r="BP119">
        <f t="shared" si="23"/>
        <v>1.011015</v>
      </c>
      <c r="BQ119">
        <f t="shared" si="30"/>
        <v>0.71480999999999995</v>
      </c>
      <c r="BR119">
        <f t="shared" si="31"/>
        <v>0.418605</v>
      </c>
      <c r="BS119" s="8"/>
      <c r="BT119" s="90"/>
      <c r="BU119" s="8"/>
      <c r="BV119" s="90"/>
      <c r="BW119" s="4">
        <f t="shared" si="24"/>
        <v>305</v>
      </c>
    </row>
    <row r="120" spans="1:75" s="27" customFormat="1" thickTop="1" thickBot="1" x14ac:dyDescent="0.3">
      <c r="A120" s="21">
        <v>305</v>
      </c>
      <c r="B120" s="22">
        <v>29</v>
      </c>
      <c r="C120" s="22">
        <v>5</v>
      </c>
      <c r="D120" s="23"/>
      <c r="E120" s="24">
        <v>137</v>
      </c>
      <c r="F120" s="24">
        <v>8</v>
      </c>
      <c r="G120" s="25">
        <f t="shared" si="25"/>
        <v>129</v>
      </c>
      <c r="H120" s="23"/>
      <c r="I120" s="22">
        <v>120</v>
      </c>
      <c r="J120" s="3">
        <f t="shared" si="32"/>
        <v>62.267441860465112</v>
      </c>
      <c r="K120" s="26">
        <f t="shared" si="26"/>
        <v>174</v>
      </c>
      <c r="L120" s="23"/>
      <c r="N120" s="23"/>
      <c r="O120" s="28">
        <v>0.16900000000000001</v>
      </c>
      <c r="P120" s="29">
        <v>4.3999999999999997E-2</v>
      </c>
      <c r="Q120" s="23"/>
      <c r="R120" s="30">
        <v>165</v>
      </c>
      <c r="S120" s="31">
        <v>48</v>
      </c>
      <c r="T120" s="32">
        <v>2190</v>
      </c>
      <c r="U120" s="23"/>
      <c r="V120" s="33">
        <v>205</v>
      </c>
      <c r="W120" s="75">
        <f t="shared" si="18"/>
        <v>15.772776794365603</v>
      </c>
      <c r="X120" s="5"/>
      <c r="Y120" s="56"/>
      <c r="Z120" s="13" t="e">
        <f t="shared" si="27"/>
        <v>#DIV/0!</v>
      </c>
      <c r="AB120" s="27">
        <v>15</v>
      </c>
      <c r="AC120" s="27">
        <v>15</v>
      </c>
      <c r="AE120" s="5">
        <f t="shared" si="28"/>
        <v>305</v>
      </c>
      <c r="AF120" s="28"/>
      <c r="AG120" s="55"/>
      <c r="AH120" s="3"/>
      <c r="AJ120" s="5"/>
      <c r="AK120" s="2">
        <v>600</v>
      </c>
      <c r="AL120" s="7">
        <f t="shared" si="19"/>
        <v>9.8999999999999991E-2</v>
      </c>
      <c r="AM120" s="8">
        <f t="shared" si="20"/>
        <v>7.0000000000000021E-2</v>
      </c>
      <c r="AN120" s="56">
        <f t="shared" si="21"/>
        <v>2.8799999999999999E-2</v>
      </c>
      <c r="AO120" s="9">
        <f t="shared" si="22"/>
        <v>1.5199999999999998E-2</v>
      </c>
      <c r="AP120" s="5"/>
      <c r="AQ120" s="91"/>
      <c r="AR120" s="5"/>
      <c r="AS120" s="96"/>
      <c r="AT120" s="5"/>
      <c r="AU120" s="30"/>
      <c r="AV120" s="31"/>
      <c r="AW120" s="32"/>
      <c r="AX120" s="147"/>
      <c r="BN120" s="5"/>
      <c r="BO120">
        <f t="shared" si="29"/>
        <v>0.56871250000000007</v>
      </c>
      <c r="BP120">
        <f t="shared" si="23"/>
        <v>1.0674250000000001</v>
      </c>
      <c r="BQ120">
        <f t="shared" si="30"/>
        <v>0.73494999999999999</v>
      </c>
      <c r="BR120">
        <f t="shared" si="31"/>
        <v>0.40247500000000003</v>
      </c>
      <c r="BS120" s="28"/>
      <c r="BT120" s="91"/>
      <c r="BU120" s="28"/>
      <c r="BV120" s="91"/>
      <c r="BW120" s="4">
        <f t="shared" si="24"/>
        <v>305</v>
      </c>
    </row>
    <row r="121" spans="1:75" thickTop="1" thickBot="1" x14ac:dyDescent="0.3">
      <c r="A121" s="15">
        <v>375</v>
      </c>
      <c r="B121" s="16">
        <v>38</v>
      </c>
      <c r="C121" s="16">
        <v>5</v>
      </c>
      <c r="D121" s="17"/>
      <c r="E121" s="1">
        <v>132</v>
      </c>
      <c r="F121" s="1">
        <v>10</v>
      </c>
      <c r="G121" s="18">
        <f t="shared" si="25"/>
        <v>122</v>
      </c>
      <c r="H121" s="17"/>
      <c r="I121" s="19">
        <v>10</v>
      </c>
      <c r="J121" s="3">
        <f t="shared" si="32"/>
        <v>16.413934426229531</v>
      </c>
      <c r="K121" s="20">
        <f t="shared" si="26"/>
        <v>174</v>
      </c>
      <c r="L121" s="17"/>
      <c r="N121" s="17"/>
      <c r="O121" s="8">
        <v>0.61</v>
      </c>
      <c r="P121" s="9">
        <v>5.0999999999999997E-2</v>
      </c>
      <c r="Q121" s="17"/>
      <c r="R121" s="10">
        <v>116</v>
      </c>
      <c r="S121" s="11">
        <v>12</v>
      </c>
      <c r="T121" s="12">
        <v>550</v>
      </c>
      <c r="U121" s="17"/>
      <c r="V121" s="7">
        <v>1392</v>
      </c>
      <c r="W121" s="13">
        <f t="shared" si="18"/>
        <v>14.393884397409096</v>
      </c>
      <c r="Z121" s="13" t="e">
        <f t="shared" si="27"/>
        <v>#DIV/0!</v>
      </c>
      <c r="AB121" s="72">
        <v>10</v>
      </c>
      <c r="AC121" s="72">
        <v>10</v>
      </c>
      <c r="AE121" s="5">
        <f t="shared" si="28"/>
        <v>375</v>
      </c>
      <c r="AF121" s="8">
        <f>(O121*AB121+O122*AB122+O123*AB123)/100</f>
        <v>0.3574</v>
      </c>
      <c r="AG121" s="56">
        <f>(P121*AC121+P122*AC122+P123*AC123)/100</f>
        <v>3.3000000000000002E-2</v>
      </c>
      <c r="AH121" s="3">
        <f>225-5.625*($B121-0.5)</f>
        <v>14.0625</v>
      </c>
      <c r="AI121">
        <f>K121</f>
        <v>174</v>
      </c>
      <c r="AK121" s="2">
        <v>700</v>
      </c>
      <c r="AL121" s="7">
        <f t="shared" si="19"/>
        <v>8.1199999999999994E-2</v>
      </c>
      <c r="AM121" s="8">
        <f t="shared" si="20"/>
        <v>0.52879999999999994</v>
      </c>
      <c r="AN121" s="56">
        <f t="shared" si="21"/>
        <v>8.3999999999999995E-3</v>
      </c>
      <c r="AO121" s="9">
        <f t="shared" si="22"/>
        <v>4.2599999999999999E-2</v>
      </c>
      <c r="AQ121" s="90">
        <f>($AB121*AM121+$AB122*AM122+$AB123*AM123)/100</f>
        <v>0.25142000000000003</v>
      </c>
      <c r="AS121" s="95">
        <f>($AB121*AO121+$AB122*AO122+$AB123*AO123)/100</f>
        <v>2.019E-2</v>
      </c>
      <c r="AU121" s="10">
        <f>($AB121*R121+$AB122*R122+$AB123*R123)/100</f>
        <v>151.4</v>
      </c>
      <c r="AV121" s="11">
        <f>($AB121*S121+$AB122*S122+$AB123*S123)/100</f>
        <v>18.3</v>
      </c>
      <c r="AW121" s="12">
        <f>($AB121*T121+$AB122*T122+$AB123*T123)/100</f>
        <v>835</v>
      </c>
      <c r="AX121" s="147">
        <f>($AB121*AK121+$AB122*AK122+$AB123*AK123)/100</f>
        <v>700</v>
      </c>
      <c r="BO121">
        <f t="shared" si="29"/>
        <v>0.87941000000000003</v>
      </c>
      <c r="BP121">
        <f t="shared" si="23"/>
        <v>1.2300200000000001</v>
      </c>
      <c r="BQ121">
        <f t="shared" si="30"/>
        <v>0.99628000000000005</v>
      </c>
      <c r="BR121">
        <f t="shared" si="31"/>
        <v>0.76254</v>
      </c>
      <c r="BS121" s="8">
        <f>($AB121*BO121+$AB122*BO122+$AB123*BO123)/100</f>
        <v>0.70902649999999989</v>
      </c>
      <c r="BT121" s="90">
        <f>($AB121*BP121+$AB122*BP122+$AB123*BP123)/100</f>
        <v>1.166633</v>
      </c>
      <c r="BU121" s="8">
        <f>($AB121*BQ121+$AB122*BQ122+$AB123*BQ123)/100</f>
        <v>0.86156200000000016</v>
      </c>
      <c r="BV121" s="90">
        <f>($AB121*BR121+$AB122*BR122+$AB123*BR123)/100</f>
        <v>0.55649100000000007</v>
      </c>
      <c r="BW121" s="4">
        <f t="shared" si="24"/>
        <v>375</v>
      </c>
    </row>
    <row r="122" spans="1:75" thickTop="1" thickBot="1" x14ac:dyDescent="0.3">
      <c r="A122" s="4">
        <v>375</v>
      </c>
      <c r="B122" s="93">
        <v>38</v>
      </c>
      <c r="C122" s="93">
        <v>5</v>
      </c>
      <c r="E122" s="1">
        <v>132</v>
      </c>
      <c r="F122" s="1">
        <v>10</v>
      </c>
      <c r="G122" s="3">
        <f t="shared" si="25"/>
        <v>122</v>
      </c>
      <c r="I122" s="2">
        <v>61</v>
      </c>
      <c r="J122" s="3">
        <f t="shared" si="32"/>
        <v>14.0625</v>
      </c>
      <c r="K122" s="6">
        <f t="shared" si="26"/>
        <v>174</v>
      </c>
      <c r="O122" s="8">
        <v>0.46200000000000002</v>
      </c>
      <c r="P122" s="9">
        <v>4.2999999999999997E-2</v>
      </c>
      <c r="R122" s="10">
        <v>122</v>
      </c>
      <c r="S122" s="11">
        <v>13</v>
      </c>
      <c r="T122" s="12">
        <v>600</v>
      </c>
      <c r="V122" s="7">
        <v>1216</v>
      </c>
      <c r="W122" s="13">
        <f t="shared" si="18"/>
        <v>14.429957872791116</v>
      </c>
      <c r="Z122" s="13" t="e">
        <f t="shared" si="27"/>
        <v>#DIV/0!</v>
      </c>
      <c r="AB122" s="72">
        <v>30</v>
      </c>
      <c r="AC122" s="72">
        <v>30</v>
      </c>
      <c r="AE122" s="5">
        <f t="shared" si="28"/>
        <v>375</v>
      </c>
      <c r="AG122" s="56"/>
      <c r="AK122" s="2">
        <v>700</v>
      </c>
      <c r="AL122" s="7">
        <f t="shared" si="19"/>
        <v>8.539999999999999E-2</v>
      </c>
      <c r="AM122" s="8">
        <f t="shared" si="20"/>
        <v>0.37660000000000005</v>
      </c>
      <c r="AN122" s="56">
        <f t="shared" si="21"/>
        <v>9.1000000000000004E-3</v>
      </c>
      <c r="AO122" s="9">
        <f t="shared" si="22"/>
        <v>3.39E-2</v>
      </c>
      <c r="AX122" s="147"/>
      <c r="BO122">
        <f t="shared" si="29"/>
        <v>0.74534500000000004</v>
      </c>
      <c r="BP122">
        <f t="shared" si="23"/>
        <v>1.11409</v>
      </c>
      <c r="BQ122">
        <f t="shared" si="30"/>
        <v>0.86826000000000003</v>
      </c>
      <c r="BR122">
        <f t="shared" si="31"/>
        <v>0.62243000000000004</v>
      </c>
      <c r="BS122" s="8"/>
      <c r="BT122" s="90"/>
      <c r="BU122" s="8"/>
      <c r="BV122" s="90"/>
      <c r="BW122" s="4">
        <f t="shared" si="24"/>
        <v>375</v>
      </c>
    </row>
    <row r="123" spans="1:75" s="27" customFormat="1" thickTop="1" thickBot="1" x14ac:dyDescent="0.3">
      <c r="A123" s="21">
        <v>375</v>
      </c>
      <c r="B123" s="22">
        <v>38</v>
      </c>
      <c r="C123" s="22">
        <v>5</v>
      </c>
      <c r="D123" s="23"/>
      <c r="E123" s="24">
        <v>132</v>
      </c>
      <c r="F123" s="24">
        <v>10</v>
      </c>
      <c r="G123" s="25">
        <f t="shared" si="25"/>
        <v>122</v>
      </c>
      <c r="H123" s="23"/>
      <c r="I123" s="22">
        <v>112</v>
      </c>
      <c r="J123" s="3">
        <f t="shared" si="32"/>
        <v>11.711065573770469</v>
      </c>
      <c r="K123" s="26">
        <f t="shared" si="26"/>
        <v>174</v>
      </c>
      <c r="L123" s="23"/>
      <c r="N123" s="23"/>
      <c r="O123" s="28">
        <v>0.26300000000000001</v>
      </c>
      <c r="P123" s="29">
        <v>2.5000000000000001E-2</v>
      </c>
      <c r="Q123" s="23"/>
      <c r="R123" s="30">
        <v>172</v>
      </c>
      <c r="S123" s="31">
        <v>22</v>
      </c>
      <c r="T123" s="32">
        <v>1000</v>
      </c>
      <c r="U123" s="23"/>
      <c r="V123" s="33">
        <v>673</v>
      </c>
      <c r="W123" s="75">
        <f t="shared" si="18"/>
        <v>14.65806402668515</v>
      </c>
      <c r="X123" s="5"/>
      <c r="Y123" s="56"/>
      <c r="Z123" s="13" t="e">
        <f t="shared" si="27"/>
        <v>#DIV/0!</v>
      </c>
      <c r="AB123" s="27">
        <v>60</v>
      </c>
      <c r="AC123" s="27">
        <v>60</v>
      </c>
      <c r="AE123" s="5">
        <f t="shared" si="28"/>
        <v>375</v>
      </c>
      <c r="AF123" s="28"/>
      <c r="AG123" s="55"/>
      <c r="AH123" s="3"/>
      <c r="AJ123" s="5"/>
      <c r="AK123" s="2">
        <v>700</v>
      </c>
      <c r="AL123" s="7">
        <f t="shared" si="19"/>
        <v>0.12039999999999999</v>
      </c>
      <c r="AM123" s="8">
        <f t="shared" si="20"/>
        <v>0.1426</v>
      </c>
      <c r="AN123" s="56">
        <f t="shared" si="21"/>
        <v>1.5399999999999999E-2</v>
      </c>
      <c r="AO123" s="9">
        <f t="shared" si="22"/>
        <v>9.6000000000000026E-3</v>
      </c>
      <c r="AP123" s="5"/>
      <c r="AQ123" s="91"/>
      <c r="AR123" s="5"/>
      <c r="AS123" s="96"/>
      <c r="AT123" s="5"/>
      <c r="AU123" s="30"/>
      <c r="AV123" s="31"/>
      <c r="AW123" s="32"/>
      <c r="AX123" s="147"/>
      <c r="BN123" s="5"/>
      <c r="BO123">
        <f t="shared" si="29"/>
        <v>0.66247</v>
      </c>
      <c r="BP123">
        <f t="shared" si="23"/>
        <v>1.1823399999999999</v>
      </c>
      <c r="BQ123">
        <f t="shared" si="30"/>
        <v>0.83576000000000006</v>
      </c>
      <c r="BR123">
        <f t="shared" si="31"/>
        <v>0.48918</v>
      </c>
      <c r="BS123" s="28"/>
      <c r="BT123" s="91"/>
      <c r="BU123" s="28"/>
      <c r="BV123" s="91"/>
      <c r="BW123" s="4">
        <f t="shared" si="24"/>
        <v>375</v>
      </c>
    </row>
    <row r="124" spans="1:75" thickTop="1" thickBot="1" x14ac:dyDescent="0.3">
      <c r="A124" s="15">
        <v>384</v>
      </c>
      <c r="B124" s="16">
        <v>39</v>
      </c>
      <c r="C124" s="16">
        <v>4</v>
      </c>
      <c r="D124" s="17"/>
      <c r="E124" s="1">
        <v>133</v>
      </c>
      <c r="F124" s="1">
        <v>12</v>
      </c>
      <c r="G124" s="18">
        <f t="shared" si="25"/>
        <v>121</v>
      </c>
      <c r="H124" s="17"/>
      <c r="I124" s="19">
        <v>10</v>
      </c>
      <c r="J124" s="3">
        <f t="shared" si="32"/>
        <v>10.785123966942137</v>
      </c>
      <c r="K124" s="20">
        <f t="shared" si="26"/>
        <v>162</v>
      </c>
      <c r="L124" s="17"/>
      <c r="N124" s="17"/>
      <c r="O124" s="8">
        <v>1.161</v>
      </c>
      <c r="P124" s="9">
        <v>0.06</v>
      </c>
      <c r="Q124" s="17"/>
      <c r="R124" s="10">
        <v>173</v>
      </c>
      <c r="S124" s="11">
        <v>59</v>
      </c>
      <c r="T124" s="12">
        <v>600</v>
      </c>
      <c r="U124" s="17"/>
      <c r="V124" s="7">
        <v>2119</v>
      </c>
      <c r="W124" s="13">
        <f t="shared" si="18"/>
        <v>14.308011992348725</v>
      </c>
      <c r="Z124" s="13" t="e">
        <f t="shared" si="27"/>
        <v>#DIV/0!</v>
      </c>
      <c r="AB124" s="72">
        <v>20</v>
      </c>
      <c r="AC124" s="72">
        <v>20</v>
      </c>
      <c r="AE124" s="5">
        <f t="shared" si="28"/>
        <v>384</v>
      </c>
      <c r="AF124" s="8">
        <f>(O124*AB124+O125*AB125+O126*AB126)/100</f>
        <v>0.82899999999999996</v>
      </c>
      <c r="AG124" s="56">
        <f>(P124*AC124+P125*AC125+P126*AC126)/100</f>
        <v>5.6400000000000006E-2</v>
      </c>
      <c r="AH124" s="3">
        <f>225-5.625*($B124-0.5)</f>
        <v>8.4375</v>
      </c>
      <c r="AI124">
        <f>K124</f>
        <v>162</v>
      </c>
      <c r="AK124" s="2">
        <v>900</v>
      </c>
      <c r="AL124" s="7">
        <f t="shared" si="19"/>
        <v>0.15570000000000001</v>
      </c>
      <c r="AM124" s="8">
        <f t="shared" si="20"/>
        <v>1.0053000000000001</v>
      </c>
      <c r="AN124" s="56">
        <f t="shared" si="21"/>
        <v>5.3099999999999994E-2</v>
      </c>
      <c r="AO124" s="9">
        <f t="shared" si="22"/>
        <v>6.9000000000000034E-3</v>
      </c>
      <c r="AQ124" s="90">
        <f>($AB124*AM124+$AB125*AM125+$AB126*AM126)/100</f>
        <v>0.69994000000000001</v>
      </c>
      <c r="AS124" s="95">
        <f>($AB124*AO124+$AB125*AO125+$AB126*AO126)/100</f>
        <v>2.8820000000000005E-2</v>
      </c>
      <c r="AU124" s="10">
        <f>($AB124*R124+$AB125*R125+$AB126*R126)/100</f>
        <v>157</v>
      </c>
      <c r="AV124" s="11">
        <f>($AB124*S124+$AB125*S125+$AB126*S126)/100</f>
        <v>33</v>
      </c>
      <c r="AW124" s="12">
        <f>($AB124*T124+$AB125*T125+$AB126*T126)/100</f>
        <v>890</v>
      </c>
      <c r="AX124" s="147">
        <f>($AB124*AK124+$AB125*AK125+$AB126*AK126)/100</f>
        <v>820</v>
      </c>
      <c r="BO124">
        <f t="shared" si="29"/>
        <v>1.5281925000000001</v>
      </c>
      <c r="BP124">
        <f t="shared" si="23"/>
        <v>2.051085</v>
      </c>
      <c r="BQ124">
        <f t="shared" si="30"/>
        <v>1.7024900000000001</v>
      </c>
      <c r="BR124">
        <f t="shared" si="31"/>
        <v>1.3538950000000001</v>
      </c>
      <c r="BS124" s="8">
        <f>($AB124*BO124+$AB125*BO125+$AB126*BO126)/100</f>
        <v>1.1744725</v>
      </c>
      <c r="BT124" s="90">
        <f>($AB124*BP124+$AB125*BP125+$AB126*BP126)/100</f>
        <v>1.6490050000000003</v>
      </c>
      <c r="BU124" s="8">
        <f>($AB124*BQ124+$AB125*BQ125+$AB126*BQ126)/100</f>
        <v>1.3326499999999999</v>
      </c>
      <c r="BV124" s="90">
        <f>($AB124*BR124+$AB125*BR125+$AB126*BR126)/100</f>
        <v>1.0162950000000002</v>
      </c>
      <c r="BW124" s="4">
        <f t="shared" si="24"/>
        <v>384</v>
      </c>
    </row>
    <row r="125" spans="1:75" thickTop="1" thickBot="1" x14ac:dyDescent="0.3">
      <c r="A125" s="4">
        <v>384</v>
      </c>
      <c r="B125" s="93">
        <v>39</v>
      </c>
      <c r="C125" s="93">
        <v>4</v>
      </c>
      <c r="E125" s="1">
        <v>133</v>
      </c>
      <c r="F125" s="1">
        <v>12</v>
      </c>
      <c r="G125" s="3">
        <f t="shared" si="25"/>
        <v>121</v>
      </c>
      <c r="I125" s="2">
        <v>61</v>
      </c>
      <c r="J125" s="3">
        <f t="shared" si="32"/>
        <v>8.4142561983470898</v>
      </c>
      <c r="K125" s="6">
        <f t="shared" si="26"/>
        <v>162</v>
      </c>
      <c r="O125" s="8">
        <v>0.72</v>
      </c>
      <c r="P125" s="9">
        <v>4.8000000000000001E-2</v>
      </c>
      <c r="R125" s="10">
        <v>176</v>
      </c>
      <c r="S125" s="11">
        <v>30</v>
      </c>
      <c r="T125" s="12">
        <v>1000</v>
      </c>
      <c r="V125" s="7">
        <v>1362</v>
      </c>
      <c r="W125" s="13">
        <f t="shared" si="18"/>
        <v>14.399379983388888</v>
      </c>
      <c r="Z125" s="13" t="e">
        <f t="shared" si="27"/>
        <v>#DIV/0!</v>
      </c>
      <c r="AB125" s="72">
        <v>60</v>
      </c>
      <c r="AC125" s="72">
        <v>60</v>
      </c>
      <c r="AE125" s="5">
        <f t="shared" si="28"/>
        <v>384</v>
      </c>
      <c r="AG125" s="56"/>
      <c r="AK125" s="2">
        <v>800</v>
      </c>
      <c r="AL125" s="7">
        <f t="shared" si="19"/>
        <v>0.14079999999999998</v>
      </c>
      <c r="AM125" s="8">
        <f t="shared" si="20"/>
        <v>0.57919999999999994</v>
      </c>
      <c r="AN125" s="56">
        <f t="shared" si="21"/>
        <v>2.4E-2</v>
      </c>
      <c r="AO125" s="9">
        <f t="shared" si="22"/>
        <v>2.4E-2</v>
      </c>
      <c r="AX125" s="147"/>
      <c r="BO125">
        <f t="shared" si="29"/>
        <v>1.1111599999999999</v>
      </c>
      <c r="BP125">
        <f t="shared" si="23"/>
        <v>1.6431200000000001</v>
      </c>
      <c r="BQ125">
        <f t="shared" si="30"/>
        <v>1.2884799999999998</v>
      </c>
      <c r="BR125">
        <f t="shared" si="31"/>
        <v>0.93384</v>
      </c>
      <c r="BS125" s="8"/>
      <c r="BT125" s="90"/>
      <c r="BU125" s="8"/>
      <c r="BV125" s="90"/>
      <c r="BW125" s="4">
        <f t="shared" si="24"/>
        <v>384</v>
      </c>
    </row>
    <row r="126" spans="1:75" s="27" customFormat="1" thickTop="1" thickBot="1" x14ac:dyDescent="0.3">
      <c r="A126" s="21">
        <v>384</v>
      </c>
      <c r="B126" s="22">
        <v>39</v>
      </c>
      <c r="C126" s="22">
        <v>4</v>
      </c>
      <c r="D126" s="23"/>
      <c r="E126" s="24">
        <v>133</v>
      </c>
      <c r="F126" s="24">
        <v>12</v>
      </c>
      <c r="G126" s="25">
        <f t="shared" si="25"/>
        <v>121</v>
      </c>
      <c r="H126" s="23"/>
      <c r="I126" s="22">
        <v>112</v>
      </c>
      <c r="J126" s="3">
        <f t="shared" si="32"/>
        <v>6.0433884297520706</v>
      </c>
      <c r="K126" s="26">
        <f t="shared" si="26"/>
        <v>162</v>
      </c>
      <c r="L126" s="23"/>
      <c r="N126" s="23"/>
      <c r="O126" s="28">
        <v>0.82399999999999995</v>
      </c>
      <c r="P126" s="29">
        <v>7.8E-2</v>
      </c>
      <c r="Q126" s="23"/>
      <c r="R126" s="30">
        <v>84</v>
      </c>
      <c r="S126" s="31">
        <v>16</v>
      </c>
      <c r="T126" s="32">
        <v>850</v>
      </c>
      <c r="U126" s="23"/>
      <c r="V126" s="33">
        <v>1436</v>
      </c>
      <c r="W126" s="75">
        <f t="shared" si="18"/>
        <v>14.386236071357777</v>
      </c>
      <c r="X126" s="5"/>
      <c r="Y126" s="56"/>
      <c r="Z126" s="13" t="e">
        <f t="shared" si="27"/>
        <v>#DIV/0!</v>
      </c>
      <c r="AB126" s="27">
        <v>20</v>
      </c>
      <c r="AC126" s="27">
        <v>20</v>
      </c>
      <c r="AE126" s="5">
        <f t="shared" si="28"/>
        <v>384</v>
      </c>
      <c r="AF126" s="28"/>
      <c r="AG126" s="55"/>
      <c r="AH126" s="3"/>
      <c r="AJ126" s="5"/>
      <c r="AK126" s="2">
        <v>800</v>
      </c>
      <c r="AL126" s="7">
        <f t="shared" si="19"/>
        <v>6.7199999999999996E-2</v>
      </c>
      <c r="AM126" s="8">
        <f t="shared" si="20"/>
        <v>0.75679999999999992</v>
      </c>
      <c r="AN126" s="56">
        <f t="shared" si="21"/>
        <v>1.2799999999999999E-2</v>
      </c>
      <c r="AO126" s="9">
        <f t="shared" si="22"/>
        <v>6.5200000000000008E-2</v>
      </c>
      <c r="AP126" s="5"/>
      <c r="AQ126" s="91"/>
      <c r="AR126" s="5"/>
      <c r="AS126" s="96"/>
      <c r="AT126" s="5"/>
      <c r="AU126" s="30"/>
      <c r="AV126" s="31"/>
      <c r="AW126" s="32"/>
      <c r="AX126" s="147"/>
      <c r="BN126" s="5"/>
      <c r="BO126">
        <f t="shared" si="29"/>
        <v>1.0106899999999999</v>
      </c>
      <c r="BP126">
        <f t="shared" si="23"/>
        <v>1.26458</v>
      </c>
      <c r="BQ126">
        <f t="shared" si="30"/>
        <v>1.0953200000000001</v>
      </c>
      <c r="BR126">
        <f t="shared" si="31"/>
        <v>0.92605999999999999</v>
      </c>
      <c r="BS126" s="28"/>
      <c r="BT126" s="91"/>
      <c r="BU126" s="28"/>
      <c r="BV126" s="91"/>
      <c r="BW126" s="4">
        <f t="shared" si="24"/>
        <v>384</v>
      </c>
    </row>
    <row r="127" spans="1:75" thickTop="1" thickBot="1" x14ac:dyDescent="0.3">
      <c r="A127" s="15">
        <v>385</v>
      </c>
      <c r="B127" s="16">
        <v>39</v>
      </c>
      <c r="C127" s="16">
        <v>5</v>
      </c>
      <c r="D127" s="17"/>
      <c r="E127" s="1">
        <v>133</v>
      </c>
      <c r="F127" s="1">
        <v>11</v>
      </c>
      <c r="G127" s="18">
        <f t="shared" si="25"/>
        <v>122</v>
      </c>
      <c r="H127" s="17"/>
      <c r="I127" s="16">
        <v>14</v>
      </c>
      <c r="J127" s="3">
        <f t="shared" si="32"/>
        <v>10.604508196721298</v>
      </c>
      <c r="K127" s="20">
        <f t="shared" si="26"/>
        <v>174</v>
      </c>
      <c r="L127" s="17"/>
      <c r="N127" s="17"/>
      <c r="O127" s="8">
        <v>0.68600000000000005</v>
      </c>
      <c r="P127" s="9">
        <v>5.3999999999999999E-2</v>
      </c>
      <c r="Q127" s="17"/>
      <c r="R127" s="10">
        <v>147</v>
      </c>
      <c r="S127" s="11">
        <v>14</v>
      </c>
      <c r="T127" s="12">
        <v>700</v>
      </c>
      <c r="U127" s="17"/>
      <c r="V127" s="7">
        <v>1398</v>
      </c>
      <c r="W127" s="13">
        <f t="shared" si="18"/>
        <v>14.392813339392815</v>
      </c>
      <c r="Z127" s="13" t="e">
        <f t="shared" si="27"/>
        <v>#DIV/0!</v>
      </c>
      <c r="AB127">
        <f t="shared" ref="AB127:AC132" si="37">100/6</f>
        <v>16.666666666666668</v>
      </c>
      <c r="AC127">
        <f t="shared" si="37"/>
        <v>16.666666666666668</v>
      </c>
      <c r="AE127" s="5">
        <f t="shared" si="28"/>
        <v>385</v>
      </c>
      <c r="AF127" s="8">
        <f>(O127*AB127+O128*AB128+O129*AB129+O130*AB130+O131*AB131+O132*AB132)/100</f>
        <v>0.75</v>
      </c>
      <c r="AG127" s="56">
        <f>(P127*AC127+P128*AC128+P129*AC129+P130*AC130+P131*AC131+P132*AC132)/100</f>
        <v>5.7833333333333341E-2</v>
      </c>
      <c r="AH127" s="3">
        <f>225-5.625*($B127-0.5)</f>
        <v>8.4375</v>
      </c>
      <c r="AI127">
        <f>K127</f>
        <v>174</v>
      </c>
      <c r="AK127" s="2">
        <v>600</v>
      </c>
      <c r="AL127" s="7">
        <f t="shared" si="19"/>
        <v>8.8200000000000001E-2</v>
      </c>
      <c r="AM127" s="8">
        <f t="shared" si="20"/>
        <v>0.59780000000000011</v>
      </c>
      <c r="AN127" s="56">
        <f t="shared" si="21"/>
        <v>8.3999999999999995E-3</v>
      </c>
      <c r="AO127" s="9">
        <f t="shared" si="22"/>
        <v>4.5600000000000002E-2</v>
      </c>
      <c r="AQ127" s="90">
        <f>($AB127*AM127+$AB128*AM128+$AB129*AM129+$AB130*AM130+$AB131*AM131+$AB132*AM132)/100</f>
        <v>0.65443333333333342</v>
      </c>
      <c r="AS127" s="95">
        <f>($AB127*AO127+$AB128*AO128+$AB129*AO129+$AB130*AO130+$AB131*AO131+$AB132*AO132)/100</f>
        <v>4.1866666666666677E-2</v>
      </c>
      <c r="AU127" s="10">
        <f>($AB127*R127+$AB128*R128+$AB129*R129+$AB130*R130+$AB131*R131+$AB132*R132)/100</f>
        <v>143.83333333333334</v>
      </c>
      <c r="AV127" s="11">
        <f>($AB127*S127+$AB128*S128+$AB129*S129+$AB130*S130+$AB131*S131+$AB132*S132)/100</f>
        <v>23.5</v>
      </c>
      <c r="AW127" s="12">
        <f>($AB127*T127+$AB128*T128+$AB129*T129+$AB130*T130+$AB131*T131+$AB132*T132)/100</f>
        <v>1016.6666666666669</v>
      </c>
      <c r="AX127" s="147">
        <f>($AB127*AK127+$AB128*AK128+$AB129*AK129+$AB130*AK130+$AB131*AK131+$AB132*AK132)/100</f>
        <v>666.66666666666674</v>
      </c>
      <c r="BO127">
        <f t="shared" si="29"/>
        <v>1.0421075000000002</v>
      </c>
      <c r="BP127">
        <f t="shared" si="23"/>
        <v>1.486415</v>
      </c>
      <c r="BQ127">
        <f t="shared" si="30"/>
        <v>1.19021</v>
      </c>
      <c r="BR127">
        <f t="shared" si="31"/>
        <v>0.89400500000000005</v>
      </c>
      <c r="BS127" s="8">
        <f>($AB127*BO127+$AB128*BO128+$AB129*BO129+$AB130*BO130+$AB131*BO131+$AB132*BO132)/100</f>
        <v>1.0891695833333335</v>
      </c>
      <c r="BT127" s="90">
        <f>($AB127*BP127+$AB128*BP128+$AB129*BP129+$AB130*BP130+$AB131*BP131+$AB132*BP132)/100</f>
        <v>1.5239058333333335</v>
      </c>
      <c r="BU127" s="8">
        <f>($AB127*BQ127+$AB128*BQ128+$AB129*BQ129+$AB130*BQ130+$AB131*BQ131+$AB132*BQ132)/100</f>
        <v>1.2340816666666667</v>
      </c>
      <c r="BV127" s="90">
        <f>($AB127*BR127+$AB128*BR128+$AB129*BR129+$AB130*BR130+$AB131*BR131+$AB132*BR132)/100</f>
        <v>0.94425750000000008</v>
      </c>
      <c r="BW127" s="4">
        <f t="shared" si="24"/>
        <v>385</v>
      </c>
    </row>
    <row r="128" spans="1:75" thickTop="1" thickBot="1" x14ac:dyDescent="0.3">
      <c r="A128" s="4">
        <v>385</v>
      </c>
      <c r="B128" s="2">
        <v>39</v>
      </c>
      <c r="C128" s="2">
        <v>5</v>
      </c>
      <c r="E128" s="1">
        <v>133</v>
      </c>
      <c r="F128" s="1">
        <v>11</v>
      </c>
      <c r="G128" s="3">
        <f t="shared" si="25"/>
        <v>122</v>
      </c>
      <c r="I128" s="2">
        <v>34</v>
      </c>
      <c r="J128" s="3">
        <f t="shared" si="32"/>
        <v>9.6823770491803316</v>
      </c>
      <c r="K128" s="6">
        <f t="shared" si="26"/>
        <v>174</v>
      </c>
      <c r="O128" s="8">
        <v>0.66900000000000004</v>
      </c>
      <c r="P128" s="9">
        <v>5.8999999999999997E-2</v>
      </c>
      <c r="R128" s="10">
        <v>160</v>
      </c>
      <c r="S128" s="11">
        <v>15</v>
      </c>
      <c r="T128" s="12">
        <v>800</v>
      </c>
      <c r="V128" s="7">
        <v>1298</v>
      </c>
      <c r="W128" s="13">
        <f t="shared" si="18"/>
        <v>14.411945054243484</v>
      </c>
      <c r="Z128" s="13" t="e">
        <f t="shared" si="27"/>
        <v>#DIV/0!</v>
      </c>
      <c r="AB128">
        <f t="shared" si="37"/>
        <v>16.666666666666668</v>
      </c>
      <c r="AC128">
        <f t="shared" si="37"/>
        <v>16.666666666666668</v>
      </c>
      <c r="AE128" s="5">
        <f t="shared" si="28"/>
        <v>385</v>
      </c>
      <c r="AG128" s="56"/>
      <c r="AK128" s="2">
        <v>600</v>
      </c>
      <c r="AL128" s="7">
        <f t="shared" si="19"/>
        <v>9.6000000000000002E-2</v>
      </c>
      <c r="AM128" s="8">
        <f t="shared" si="20"/>
        <v>0.57300000000000006</v>
      </c>
      <c r="AN128" s="56">
        <f t="shared" si="21"/>
        <v>8.9999999999999993E-3</v>
      </c>
      <c r="AO128" s="9">
        <f t="shared" si="22"/>
        <v>4.9999999999999996E-2</v>
      </c>
      <c r="AX128" s="147"/>
      <c r="BO128">
        <f t="shared" si="29"/>
        <v>1.0566</v>
      </c>
      <c r="BP128">
        <f t="shared" si="23"/>
        <v>1.5402</v>
      </c>
      <c r="BQ128">
        <f t="shared" si="30"/>
        <v>1.2178</v>
      </c>
      <c r="BR128">
        <f t="shared" si="31"/>
        <v>0.89539999999999997</v>
      </c>
      <c r="BS128" s="8"/>
      <c r="BT128" s="90"/>
      <c r="BU128" s="8"/>
      <c r="BV128" s="90"/>
      <c r="BW128" s="4">
        <f t="shared" si="24"/>
        <v>385</v>
      </c>
    </row>
    <row r="129" spans="1:75" thickTop="1" thickBot="1" x14ac:dyDescent="0.3">
      <c r="A129" s="4">
        <v>385</v>
      </c>
      <c r="B129" s="93">
        <v>39</v>
      </c>
      <c r="C129" s="93">
        <v>5</v>
      </c>
      <c r="E129" s="1">
        <v>133</v>
      </c>
      <c r="F129" s="1">
        <v>11</v>
      </c>
      <c r="G129" s="3">
        <f t="shared" si="25"/>
        <v>122</v>
      </c>
      <c r="I129" s="2">
        <v>54</v>
      </c>
      <c r="J129" s="3">
        <f t="shared" si="32"/>
        <v>8.7602459016393368</v>
      </c>
      <c r="K129" s="6">
        <f t="shared" si="26"/>
        <v>174</v>
      </c>
      <c r="O129" s="8">
        <v>0.74</v>
      </c>
      <c r="P129" s="9">
        <v>5.7000000000000002E-2</v>
      </c>
      <c r="R129" s="10">
        <v>138</v>
      </c>
      <c r="S129" s="11">
        <v>21</v>
      </c>
      <c r="T129" s="12">
        <v>900</v>
      </c>
      <c r="V129" s="7">
        <v>1403</v>
      </c>
      <c r="W129" s="13">
        <f t="shared" si="18"/>
        <v>14.391927728734224</v>
      </c>
      <c r="Z129" s="13" t="e">
        <f t="shared" si="27"/>
        <v>#DIV/0!</v>
      </c>
      <c r="AB129">
        <f t="shared" si="37"/>
        <v>16.666666666666668</v>
      </c>
      <c r="AC129">
        <f t="shared" si="37"/>
        <v>16.666666666666668</v>
      </c>
      <c r="AE129" s="5">
        <f t="shared" si="28"/>
        <v>385</v>
      </c>
      <c r="AG129" s="56"/>
      <c r="AK129" s="2">
        <v>700</v>
      </c>
      <c r="AL129" s="7">
        <f t="shared" si="19"/>
        <v>9.6599999999999991E-2</v>
      </c>
      <c r="AM129" s="8">
        <f t="shared" si="20"/>
        <v>0.64339999999999997</v>
      </c>
      <c r="AN129" s="56">
        <f t="shared" si="21"/>
        <v>1.47E-2</v>
      </c>
      <c r="AO129" s="9">
        <f t="shared" si="22"/>
        <v>4.2300000000000004E-2</v>
      </c>
      <c r="AX129" s="147"/>
      <c r="BO129">
        <f t="shared" si="29"/>
        <v>1.060505</v>
      </c>
      <c r="BP129">
        <f t="shared" si="23"/>
        <v>1.4776099999999999</v>
      </c>
      <c r="BQ129">
        <f t="shared" si="30"/>
        <v>1.1995400000000001</v>
      </c>
      <c r="BR129">
        <f t="shared" si="31"/>
        <v>0.92147000000000001</v>
      </c>
      <c r="BS129" s="8"/>
      <c r="BT129" s="90"/>
      <c r="BU129" s="8"/>
      <c r="BV129" s="90"/>
      <c r="BW129" s="4">
        <f t="shared" si="24"/>
        <v>385</v>
      </c>
    </row>
    <row r="130" spans="1:75" thickTop="1" thickBot="1" x14ac:dyDescent="0.3">
      <c r="A130" s="4">
        <v>385</v>
      </c>
      <c r="B130" s="93">
        <v>39</v>
      </c>
      <c r="C130" s="93">
        <v>5</v>
      </c>
      <c r="E130" s="1">
        <v>133</v>
      </c>
      <c r="F130" s="1">
        <v>11</v>
      </c>
      <c r="G130" s="3">
        <f t="shared" si="25"/>
        <v>122</v>
      </c>
      <c r="I130" s="2">
        <v>74</v>
      </c>
      <c r="J130" s="3">
        <f t="shared" si="32"/>
        <v>7.8381147540983704</v>
      </c>
      <c r="K130" s="6">
        <f t="shared" si="26"/>
        <v>174</v>
      </c>
      <c r="O130" s="8">
        <v>0.83699999999999997</v>
      </c>
      <c r="P130" s="9">
        <v>6.9000000000000006E-2</v>
      </c>
      <c r="R130" s="10">
        <v>154</v>
      </c>
      <c r="S130" s="11">
        <v>29</v>
      </c>
      <c r="T130" s="12">
        <v>1100</v>
      </c>
      <c r="V130" s="7">
        <v>1869</v>
      </c>
      <c r="W130" s="13">
        <f t="shared" ref="W130:W193" si="38">SQRT(0.1^2+0.1^2+1/V130)*100</f>
        <v>14.330054249327079</v>
      </c>
      <c r="Z130" s="13" t="e">
        <f t="shared" si="27"/>
        <v>#DIV/0!</v>
      </c>
      <c r="AB130">
        <f t="shared" si="37"/>
        <v>16.666666666666668</v>
      </c>
      <c r="AC130">
        <f t="shared" si="37"/>
        <v>16.666666666666668</v>
      </c>
      <c r="AE130" s="5">
        <f t="shared" si="28"/>
        <v>385</v>
      </c>
      <c r="AG130" s="56"/>
      <c r="AK130" s="2">
        <v>700</v>
      </c>
      <c r="AL130" s="7">
        <f t="shared" ref="AL130:AL193" si="39">AK130*R130*0.000001</f>
        <v>0.10779999999999999</v>
      </c>
      <c r="AM130" s="8">
        <f t="shared" ref="AM130:AM193" si="40">O130-AL130</f>
        <v>0.72919999999999996</v>
      </c>
      <c r="AN130" s="56">
        <f t="shared" ref="AN130:AN193" si="41">S130*AK130*0.000001</f>
        <v>2.0299999999999999E-2</v>
      </c>
      <c r="AO130" s="9">
        <f t="shared" ref="AO130:AO193" si="42">P130-AN130</f>
        <v>4.8700000000000007E-2</v>
      </c>
      <c r="AX130" s="147"/>
      <c r="BO130">
        <f t="shared" si="29"/>
        <v>1.1946650000000001</v>
      </c>
      <c r="BP130">
        <f t="shared" ref="BP130:BP193" si="43">(31*3*10*6.5-$AK130)*$R130/(1000000)+$O130</f>
        <v>1.6601300000000001</v>
      </c>
      <c r="BQ130">
        <f t="shared" si="30"/>
        <v>1.34982</v>
      </c>
      <c r="BR130">
        <f t="shared" si="31"/>
        <v>1.0395099999999999</v>
      </c>
      <c r="BS130" s="8"/>
      <c r="BT130" s="90"/>
      <c r="BU130" s="8"/>
      <c r="BV130" s="90"/>
      <c r="BW130" s="4">
        <f t="shared" ref="BW130:BW193" si="44">A130</f>
        <v>385</v>
      </c>
    </row>
    <row r="131" spans="1:75" thickTop="1" thickBot="1" x14ac:dyDescent="0.3">
      <c r="A131" s="4">
        <v>385</v>
      </c>
      <c r="B131" s="93">
        <v>39</v>
      </c>
      <c r="C131" s="93">
        <v>5</v>
      </c>
      <c r="E131" s="1">
        <v>133</v>
      </c>
      <c r="F131" s="1">
        <v>11</v>
      </c>
      <c r="G131" s="3">
        <f>E131-F131</f>
        <v>122</v>
      </c>
      <c r="I131" s="2">
        <v>94</v>
      </c>
      <c r="J131" s="3">
        <f t="shared" si="32"/>
        <v>6.9159836065573757</v>
      </c>
      <c r="K131" s="6">
        <f>120+12*(C131-0.5)</f>
        <v>174</v>
      </c>
      <c r="O131" s="8">
        <v>0.91800000000000004</v>
      </c>
      <c r="P131" s="9">
        <v>6.6000000000000003E-2</v>
      </c>
      <c r="R131" s="10">
        <v>161</v>
      </c>
      <c r="S131" s="11">
        <v>29</v>
      </c>
      <c r="T131" s="12">
        <v>1200</v>
      </c>
      <c r="V131" s="7">
        <v>1515</v>
      </c>
      <c r="W131" s="13">
        <f t="shared" si="38"/>
        <v>14.373609848121196</v>
      </c>
      <c r="Z131" s="13" t="e">
        <f t="shared" ref="Z131:Z194" si="45">SQRT(0.1^2+0.1^2+1/Y131)</f>
        <v>#DIV/0!</v>
      </c>
      <c r="AB131">
        <f t="shared" si="37"/>
        <v>16.666666666666668</v>
      </c>
      <c r="AC131">
        <f t="shared" si="37"/>
        <v>16.666666666666668</v>
      </c>
      <c r="AE131" s="5">
        <f t="shared" ref="AE131:AE194" si="46">A131</f>
        <v>385</v>
      </c>
      <c r="AG131" s="56"/>
      <c r="AK131" s="2">
        <v>700</v>
      </c>
      <c r="AL131" s="7">
        <f t="shared" si="39"/>
        <v>0.11269999999999999</v>
      </c>
      <c r="AM131" s="8">
        <f t="shared" si="40"/>
        <v>0.80530000000000002</v>
      </c>
      <c r="AN131" s="56">
        <f t="shared" si="41"/>
        <v>2.0299999999999999E-2</v>
      </c>
      <c r="AO131" s="9">
        <f t="shared" si="42"/>
        <v>4.5700000000000005E-2</v>
      </c>
      <c r="AX131" s="147"/>
      <c r="BO131">
        <f t="shared" ref="BO131:BO194" si="47">(31*1.5*10*6.5-AK131)*R131/(1000000)+O131</f>
        <v>1.2919225000000001</v>
      </c>
      <c r="BP131">
        <f t="shared" si="43"/>
        <v>1.778545</v>
      </c>
      <c r="BQ131">
        <f t="shared" ref="BQ131:BQ194" si="48">(31*2*10*6.5-$AK131)*$R131/(1000000)+$O131</f>
        <v>1.4541300000000001</v>
      </c>
      <c r="BR131">
        <f t="shared" ref="BR131:BR194" si="49">(31*10*6.5-$AK131)*$R131/(1000000)+$O131</f>
        <v>1.129715</v>
      </c>
      <c r="BS131" s="8"/>
      <c r="BT131" s="90"/>
      <c r="BU131" s="8"/>
      <c r="BV131" s="90"/>
      <c r="BW131" s="4">
        <f t="shared" si="44"/>
        <v>385</v>
      </c>
    </row>
    <row r="132" spans="1:75" s="27" customFormat="1" thickTop="1" thickBot="1" x14ac:dyDescent="0.3">
      <c r="A132" s="21">
        <v>385</v>
      </c>
      <c r="B132" s="22">
        <v>39</v>
      </c>
      <c r="C132" s="22">
        <v>5</v>
      </c>
      <c r="D132" s="23"/>
      <c r="E132" s="24">
        <v>133</v>
      </c>
      <c r="F132" s="24">
        <v>11</v>
      </c>
      <c r="G132" s="25">
        <f>E132-F132</f>
        <v>122</v>
      </c>
      <c r="H132" s="23"/>
      <c r="I132" s="22">
        <v>114</v>
      </c>
      <c r="J132" s="3">
        <f t="shared" si="32"/>
        <v>5.9938524590163809</v>
      </c>
      <c r="K132" s="26">
        <f>120+12*(C132-0.5)</f>
        <v>174</v>
      </c>
      <c r="L132" s="23"/>
      <c r="N132" s="23"/>
      <c r="O132" s="28">
        <v>0.65</v>
      </c>
      <c r="P132" s="29">
        <v>4.2000000000000003E-2</v>
      </c>
      <c r="Q132" s="23"/>
      <c r="R132" s="30">
        <v>103</v>
      </c>
      <c r="S132" s="31">
        <v>33</v>
      </c>
      <c r="T132" s="32">
        <v>1400</v>
      </c>
      <c r="U132" s="23"/>
      <c r="V132" s="33">
        <v>858</v>
      </c>
      <c r="W132" s="75">
        <f t="shared" si="38"/>
        <v>14.548368006584509</v>
      </c>
      <c r="X132" s="5"/>
      <c r="Y132" s="56"/>
      <c r="Z132" s="13" t="e">
        <f t="shared" si="45"/>
        <v>#DIV/0!</v>
      </c>
      <c r="AB132" s="27">
        <f t="shared" si="37"/>
        <v>16.666666666666668</v>
      </c>
      <c r="AC132" s="27">
        <f t="shared" si="37"/>
        <v>16.666666666666668</v>
      </c>
      <c r="AE132" s="5">
        <f t="shared" si="46"/>
        <v>385</v>
      </c>
      <c r="AF132" s="28"/>
      <c r="AG132" s="55"/>
      <c r="AH132" s="3"/>
      <c r="AJ132" s="5"/>
      <c r="AK132" s="2">
        <v>700</v>
      </c>
      <c r="AL132" s="7">
        <f t="shared" si="39"/>
        <v>7.2099999999999997E-2</v>
      </c>
      <c r="AM132" s="8">
        <f t="shared" si="40"/>
        <v>0.57790000000000008</v>
      </c>
      <c r="AN132" s="56">
        <f t="shared" si="41"/>
        <v>2.3099999999999999E-2</v>
      </c>
      <c r="AO132" s="9">
        <f t="shared" si="42"/>
        <v>1.8900000000000004E-2</v>
      </c>
      <c r="AP132" s="5"/>
      <c r="AQ132" s="91"/>
      <c r="AR132" s="5"/>
      <c r="AS132" s="96"/>
      <c r="AT132" s="5"/>
      <c r="AU132" s="30"/>
      <c r="AV132" s="31"/>
      <c r="AW132" s="32"/>
      <c r="AX132" s="147"/>
      <c r="BN132" s="5"/>
      <c r="BO132">
        <f t="shared" si="47"/>
        <v>0.88921749999999999</v>
      </c>
      <c r="BP132">
        <f t="shared" si="43"/>
        <v>1.2005349999999999</v>
      </c>
      <c r="BQ132">
        <f t="shared" si="48"/>
        <v>0.99299000000000004</v>
      </c>
      <c r="BR132">
        <f t="shared" si="49"/>
        <v>0.78544500000000006</v>
      </c>
      <c r="BS132" s="28"/>
      <c r="BT132" s="91"/>
      <c r="BU132" s="28"/>
      <c r="BV132" s="91"/>
      <c r="BW132" s="4">
        <f t="shared" si="44"/>
        <v>385</v>
      </c>
    </row>
    <row r="133" spans="1:75" thickTop="1" thickBot="1" x14ac:dyDescent="0.3">
      <c r="A133" s="15">
        <v>396</v>
      </c>
      <c r="B133" s="16">
        <v>40</v>
      </c>
      <c r="C133" s="16">
        <v>6</v>
      </c>
      <c r="D133" s="17"/>
      <c r="E133" s="1">
        <v>137</v>
      </c>
      <c r="F133" s="1">
        <v>15</v>
      </c>
      <c r="G133" s="18">
        <f>E133-F133</f>
        <v>122</v>
      </c>
      <c r="H133" s="17"/>
      <c r="I133" s="19">
        <v>10</v>
      </c>
      <c r="J133" s="3">
        <f t="shared" si="32"/>
        <v>5.163934426229531</v>
      </c>
      <c r="K133" s="20">
        <f>120+12*(C133-0.5)</f>
        <v>186</v>
      </c>
      <c r="L133" s="17"/>
      <c r="N133" s="17"/>
      <c r="O133" s="8">
        <v>0.188</v>
      </c>
      <c r="P133" s="9">
        <v>1.2999999999999999E-2</v>
      </c>
      <c r="Q133" s="17"/>
      <c r="R133" s="10">
        <v>49</v>
      </c>
      <c r="S133" s="11">
        <v>17</v>
      </c>
      <c r="T133" s="12">
        <v>500</v>
      </c>
      <c r="U133" s="17"/>
      <c r="V133" s="7">
        <v>287</v>
      </c>
      <c r="W133" s="13">
        <f t="shared" si="38"/>
        <v>15.324594793171952</v>
      </c>
      <c r="Z133" s="13" t="e">
        <f t="shared" si="45"/>
        <v>#DIV/0!</v>
      </c>
      <c r="AB133">
        <v>15</v>
      </c>
      <c r="AC133">
        <v>15</v>
      </c>
      <c r="AE133" s="5">
        <f t="shared" si="46"/>
        <v>396</v>
      </c>
      <c r="AF133" s="8">
        <f>(O133*AB133+O134*AB134+O135*AB135)/100</f>
        <v>0.29385</v>
      </c>
      <c r="AG133" s="56">
        <f>(P133*AC133+P134*AC134+P135*AC135)/100</f>
        <v>2.5300000000000003E-2</v>
      </c>
      <c r="AH133" s="3">
        <f>225-5.625*($B133-0.5)</f>
        <v>2.8125</v>
      </c>
      <c r="AI133">
        <f>K133</f>
        <v>186</v>
      </c>
      <c r="AK133" s="2">
        <v>600</v>
      </c>
      <c r="AL133" s="7">
        <f t="shared" si="39"/>
        <v>2.9399999999999999E-2</v>
      </c>
      <c r="AM133" s="8">
        <f t="shared" si="40"/>
        <v>0.15859999999999999</v>
      </c>
      <c r="AN133" s="56">
        <f t="shared" si="41"/>
        <v>1.0199999999999999E-2</v>
      </c>
      <c r="AO133" s="9">
        <f t="shared" si="42"/>
        <v>2.8000000000000004E-3</v>
      </c>
      <c r="AQ133" s="90">
        <f>($AB133*AM133+$AB134*AM134+$AB135*AM135)/100</f>
        <v>0.21660499999999999</v>
      </c>
      <c r="AS133" s="95">
        <f>($AB133*AO133+$AB134*AO134+$AB135*AO135)/100</f>
        <v>1.0645E-2</v>
      </c>
      <c r="AU133" s="10">
        <f>($AB133*R133+$AB134*R134+$AB135*R135)/100</f>
        <v>111.4</v>
      </c>
      <c r="AV133" s="11">
        <f>($AB133*S133+$AB134*S134+$AB135*S135)/100</f>
        <v>21.3</v>
      </c>
      <c r="AW133" s="12">
        <f>($AB133*T133+$AB134*T134+$AB135*T135)/100</f>
        <v>575</v>
      </c>
      <c r="AX133" s="147">
        <f>($AB133*AK133+$AB134*AK134+$AB135*AK135)/100</f>
        <v>685</v>
      </c>
      <c r="BO133">
        <f t="shared" si="47"/>
        <v>0.30670249999999999</v>
      </c>
      <c r="BP133">
        <f t="shared" si="43"/>
        <v>0.45480500000000001</v>
      </c>
      <c r="BQ133">
        <f t="shared" si="48"/>
        <v>0.35607</v>
      </c>
      <c r="BR133">
        <f t="shared" si="49"/>
        <v>0.25733499999999998</v>
      </c>
      <c r="BS133" s="8">
        <f>($AB133*BO133+$AB134*BO134+$AB135*BO135)/100</f>
        <v>0.55331149999999996</v>
      </c>
      <c r="BT133" s="90">
        <f>($AB133*BP133+$AB134*BP134+$AB135*BP135)/100</f>
        <v>0.89001799999999998</v>
      </c>
      <c r="BU133" s="8">
        <f>($AB133*BQ133+$AB134*BQ134+$AB135*BQ135)/100</f>
        <v>0.66554700000000011</v>
      </c>
      <c r="BV133" s="90">
        <f>($AB133*BR133+$AB134*BR134+$AB135*BR135)/100</f>
        <v>0.44107600000000002</v>
      </c>
      <c r="BW133" s="4">
        <f t="shared" si="44"/>
        <v>396</v>
      </c>
    </row>
    <row r="134" spans="1:75" thickTop="1" thickBot="1" x14ac:dyDescent="0.3">
      <c r="A134" s="4">
        <v>396</v>
      </c>
      <c r="B134" s="93">
        <v>40</v>
      </c>
      <c r="C134" s="93">
        <v>6</v>
      </c>
      <c r="E134" s="1">
        <v>137</v>
      </c>
      <c r="F134" s="1">
        <v>15</v>
      </c>
      <c r="G134" s="3">
        <f>E134-F134</f>
        <v>122</v>
      </c>
      <c r="I134" s="2">
        <v>61</v>
      </c>
      <c r="J134" s="3">
        <f t="shared" si="32"/>
        <v>2.8125</v>
      </c>
      <c r="K134" s="6">
        <f>120+12*(C134-0.5)</f>
        <v>186</v>
      </c>
      <c r="O134" s="8">
        <v>0.40899999999999997</v>
      </c>
      <c r="P134" s="9">
        <v>4.1000000000000002E-2</v>
      </c>
      <c r="R134" s="10">
        <v>193</v>
      </c>
      <c r="S134" s="11">
        <v>35</v>
      </c>
      <c r="T134" s="12">
        <v>1000</v>
      </c>
      <c r="V134" s="7">
        <v>653</v>
      </c>
      <c r="W134" s="13">
        <f t="shared" si="38"/>
        <v>14.673579511539444</v>
      </c>
      <c r="Z134" s="13" t="e">
        <f t="shared" si="45"/>
        <v>#DIV/0!</v>
      </c>
      <c r="AB134">
        <v>35</v>
      </c>
      <c r="AC134">
        <v>35</v>
      </c>
      <c r="AE134" s="5">
        <f t="shared" si="46"/>
        <v>396</v>
      </c>
      <c r="AG134" s="56"/>
      <c r="AK134" s="2">
        <v>700</v>
      </c>
      <c r="AL134" s="7">
        <f t="shared" si="39"/>
        <v>0.1351</v>
      </c>
      <c r="AM134" s="8">
        <f t="shared" si="40"/>
        <v>0.27389999999999998</v>
      </c>
      <c r="AN134" s="56">
        <f t="shared" si="41"/>
        <v>2.4499999999999997E-2</v>
      </c>
      <c r="AO134" s="9">
        <f t="shared" si="42"/>
        <v>1.6500000000000004E-2</v>
      </c>
      <c r="AX134" s="147"/>
      <c r="BO134">
        <f t="shared" si="47"/>
        <v>0.85724249999999991</v>
      </c>
      <c r="BP134">
        <f t="shared" si="43"/>
        <v>1.440585</v>
      </c>
      <c r="BQ134">
        <f t="shared" si="48"/>
        <v>1.05169</v>
      </c>
      <c r="BR134">
        <f t="shared" si="49"/>
        <v>0.66279500000000002</v>
      </c>
      <c r="BS134" s="8"/>
      <c r="BT134" s="90"/>
      <c r="BU134" s="8"/>
      <c r="BV134" s="90"/>
      <c r="BW134" s="4">
        <f t="shared" si="44"/>
        <v>396</v>
      </c>
    </row>
    <row r="135" spans="1:75" s="27" customFormat="1" thickTop="1" thickBot="1" x14ac:dyDescent="0.3">
      <c r="A135" s="21">
        <v>396</v>
      </c>
      <c r="B135" s="22">
        <v>40</v>
      </c>
      <c r="C135" s="22">
        <v>6</v>
      </c>
      <c r="D135" s="23"/>
      <c r="E135" s="24">
        <v>137</v>
      </c>
      <c r="F135" s="24">
        <v>15</v>
      </c>
      <c r="G135" s="25">
        <f t="shared" ref="G135:G198" si="50">E135-F135</f>
        <v>122</v>
      </c>
      <c r="H135" s="23"/>
      <c r="I135" s="22">
        <v>112</v>
      </c>
      <c r="J135" s="3">
        <f t="shared" si="32"/>
        <v>0.46106557377046897</v>
      </c>
      <c r="K135" s="26">
        <f t="shared" ref="K135:K198" si="51">120+12*(C135-0.5)</f>
        <v>186</v>
      </c>
      <c r="L135" s="23"/>
      <c r="N135" s="23"/>
      <c r="O135" s="28">
        <v>0.245</v>
      </c>
      <c r="P135" s="29">
        <v>1.7999999999999999E-2</v>
      </c>
      <c r="Q135" s="23"/>
      <c r="R135" s="30">
        <v>73</v>
      </c>
      <c r="S135" s="31">
        <v>13</v>
      </c>
      <c r="T135" s="32">
        <v>300</v>
      </c>
      <c r="U135" s="23"/>
      <c r="V135" s="33">
        <v>309</v>
      </c>
      <c r="W135" s="75">
        <f t="shared" si="38"/>
        <v>15.243439885633611</v>
      </c>
      <c r="X135" s="5"/>
      <c r="Y135" s="56"/>
      <c r="Z135" s="13" t="e">
        <f t="shared" si="45"/>
        <v>#DIV/0!</v>
      </c>
      <c r="AB135" s="27">
        <v>50</v>
      </c>
      <c r="AC135" s="27">
        <v>50</v>
      </c>
      <c r="AE135" s="5">
        <f t="shared" si="46"/>
        <v>396</v>
      </c>
      <c r="AF135" s="28"/>
      <c r="AG135" s="55"/>
      <c r="AH135" s="3"/>
      <c r="AJ135" s="5"/>
      <c r="AK135" s="2">
        <v>700</v>
      </c>
      <c r="AL135" s="7">
        <f t="shared" si="39"/>
        <v>5.11E-2</v>
      </c>
      <c r="AM135" s="8">
        <f t="shared" si="40"/>
        <v>0.19389999999999999</v>
      </c>
      <c r="AN135" s="56">
        <f t="shared" si="41"/>
        <v>9.1000000000000004E-3</v>
      </c>
      <c r="AO135" s="9">
        <f t="shared" si="42"/>
        <v>8.8999999999999982E-3</v>
      </c>
      <c r="AP135" s="5"/>
      <c r="AQ135" s="91"/>
      <c r="AR135" s="5"/>
      <c r="AS135" s="96"/>
      <c r="AT135" s="5"/>
      <c r="AU135" s="30"/>
      <c r="AV135" s="31"/>
      <c r="AW135" s="32"/>
      <c r="AX135" s="147"/>
      <c r="BN135" s="5"/>
      <c r="BO135">
        <f t="shared" si="47"/>
        <v>0.41454250000000004</v>
      </c>
      <c r="BP135">
        <f t="shared" si="43"/>
        <v>0.635185</v>
      </c>
      <c r="BQ135">
        <f t="shared" si="48"/>
        <v>0.48809000000000002</v>
      </c>
      <c r="BR135">
        <f t="shared" si="49"/>
        <v>0.34099499999999999</v>
      </c>
      <c r="BS135" s="28"/>
      <c r="BT135" s="91"/>
      <c r="BU135" s="28"/>
      <c r="BV135" s="91"/>
      <c r="BW135" s="4">
        <f t="shared" si="44"/>
        <v>396</v>
      </c>
    </row>
    <row r="136" spans="1:75" thickTop="1" thickBot="1" x14ac:dyDescent="0.3">
      <c r="A136" s="15">
        <v>406</v>
      </c>
      <c r="B136" s="16">
        <v>41</v>
      </c>
      <c r="C136" s="16">
        <v>6</v>
      </c>
      <c r="D136" s="17"/>
      <c r="E136" s="1">
        <v>136</v>
      </c>
      <c r="F136" s="1">
        <v>13</v>
      </c>
      <c r="G136" s="18">
        <f t="shared" si="50"/>
        <v>123</v>
      </c>
      <c r="H136" s="17"/>
      <c r="I136" s="16">
        <v>13</v>
      </c>
      <c r="J136" s="3">
        <f>225-5.625*(B136-0.5-(I136-0.5*G136)/G136)</f>
        <v>-5.0304878048780211</v>
      </c>
      <c r="K136" s="20">
        <f t="shared" si="51"/>
        <v>186</v>
      </c>
      <c r="L136" s="17"/>
      <c r="N136" s="17"/>
      <c r="O136" s="8">
        <v>0.38900000000000001</v>
      </c>
      <c r="P136" s="9">
        <v>1.9E-2</v>
      </c>
      <c r="Q136" s="17"/>
      <c r="R136" s="10">
        <v>160</v>
      </c>
      <c r="S136" s="11">
        <v>24</v>
      </c>
      <c r="T136" s="12">
        <v>800</v>
      </c>
      <c r="U136" s="17"/>
      <c r="V136" s="7">
        <v>283</v>
      </c>
      <c r="W136" s="13">
        <f t="shared" si="38"/>
        <v>15.340654778917894</v>
      </c>
      <c r="Z136" s="13" t="e">
        <f t="shared" si="45"/>
        <v>#DIV/0!</v>
      </c>
      <c r="AB136" s="72">
        <v>10</v>
      </c>
      <c r="AC136" s="72">
        <v>10</v>
      </c>
      <c r="AE136" s="5">
        <f t="shared" si="46"/>
        <v>406</v>
      </c>
      <c r="AF136" s="8">
        <f>(O136*AB136+O137*AB137+O138*AB138)/100</f>
        <v>1.0744</v>
      </c>
      <c r="AG136" s="56">
        <f>(P136*AC136+P137*AC137+P138*AC138)/100</f>
        <v>5.000000000000001E-2</v>
      </c>
      <c r="AH136" s="3">
        <f>225-5.625*($B136-0.5)</f>
        <v>-2.8125</v>
      </c>
      <c r="AI136">
        <f>K136</f>
        <v>186</v>
      </c>
      <c r="AK136" s="2">
        <v>700</v>
      </c>
      <c r="AL136" s="7">
        <f t="shared" si="39"/>
        <v>0.11199999999999999</v>
      </c>
      <c r="AM136" s="8">
        <f t="shared" si="40"/>
        <v>0.27700000000000002</v>
      </c>
      <c r="AN136" s="56">
        <f t="shared" si="41"/>
        <v>1.6799999999999999E-2</v>
      </c>
      <c r="AO136" s="9">
        <f t="shared" si="42"/>
        <v>2.2000000000000006E-3</v>
      </c>
      <c r="AQ136" s="90">
        <f>($AB136*AM136+$AB137*AM137+$AB138*AM138)/100</f>
        <v>0.96748000000000001</v>
      </c>
      <c r="AS136" s="95">
        <f>($AB136*AO136+$AB137*AO137+$AB138*AO138)/100</f>
        <v>3.2099999999999997E-2</v>
      </c>
      <c r="AU136" s="10">
        <f>($AB136*R136+$AB137*R137+$AB138*R138)/100</f>
        <v>172.4</v>
      </c>
      <c r="AV136" s="11">
        <f>($AB136*S136+$AB137*S137+$AB138*S138)/100</f>
        <v>28.2</v>
      </c>
      <c r="AW136" s="12">
        <f>($AB136*T136+$AB137*T137+$AB138*T138)/100</f>
        <v>980</v>
      </c>
      <c r="AX136" s="147">
        <f>($AB136*AK136+$AB137*AK137+$AB138*AK138)/100</f>
        <v>620</v>
      </c>
      <c r="BO136">
        <f t="shared" si="47"/>
        <v>0.76059999999999994</v>
      </c>
      <c r="BP136">
        <f t="shared" si="43"/>
        <v>1.2442</v>
      </c>
      <c r="BQ136">
        <f t="shared" si="48"/>
        <v>0.92180000000000006</v>
      </c>
      <c r="BR136">
        <f t="shared" si="49"/>
        <v>0.59940000000000004</v>
      </c>
      <c r="BS136" s="8">
        <f>($AB136*BO136+$AB137*BO137+$AB138*BO138)/100</f>
        <v>1.488559</v>
      </c>
      <c r="BT136" s="90">
        <f>($AB136*BP136+$AB137*BP137+$AB138*BP138)/100</f>
        <v>2.0096380000000003</v>
      </c>
      <c r="BU136" s="8">
        <f>($AB136*BQ136+$AB137*BQ137+$AB138*BQ138)/100</f>
        <v>1.6622520000000001</v>
      </c>
      <c r="BV136" s="90">
        <f>($AB136*BR136+$AB137*BR137+$AB138*BR138)/100</f>
        <v>1.3148660000000001</v>
      </c>
      <c r="BW136" s="4">
        <f t="shared" si="44"/>
        <v>406</v>
      </c>
    </row>
    <row r="137" spans="1:75" thickTop="1" thickBot="1" x14ac:dyDescent="0.3">
      <c r="A137" s="4">
        <v>406</v>
      </c>
      <c r="B137" s="2">
        <v>41</v>
      </c>
      <c r="C137" s="2">
        <v>6</v>
      </c>
      <c r="E137" s="1">
        <v>136</v>
      </c>
      <c r="F137" s="1">
        <v>13</v>
      </c>
      <c r="G137" s="3">
        <f t="shared" si="50"/>
        <v>123</v>
      </c>
      <c r="I137" s="2">
        <v>61</v>
      </c>
      <c r="J137" s="3">
        <f>225-5.625*(B137-0.5-(I137-0.5*G137)/G137)</f>
        <v>-2.8353658536585442</v>
      </c>
      <c r="K137" s="6">
        <f t="shared" si="51"/>
        <v>186</v>
      </c>
      <c r="O137" s="8">
        <v>1.0880000000000001</v>
      </c>
      <c r="P137" s="9">
        <v>5.1999999999999998E-2</v>
      </c>
      <c r="R137" s="10">
        <v>172</v>
      </c>
      <c r="S137" s="11">
        <v>23</v>
      </c>
      <c r="T137" s="12">
        <v>900</v>
      </c>
      <c r="V137" s="7">
        <v>1768</v>
      </c>
      <c r="W137" s="13">
        <f t="shared" si="38"/>
        <v>14.34071506575893</v>
      </c>
      <c r="Z137" s="13" t="e">
        <f t="shared" si="45"/>
        <v>#DIV/0!</v>
      </c>
      <c r="AB137" s="72">
        <v>80</v>
      </c>
      <c r="AC137" s="72">
        <v>80</v>
      </c>
      <c r="AE137" s="5">
        <f t="shared" si="46"/>
        <v>406</v>
      </c>
      <c r="AG137" s="56"/>
      <c r="AK137" s="2">
        <v>600</v>
      </c>
      <c r="AL137" s="7">
        <f t="shared" si="39"/>
        <v>0.1032</v>
      </c>
      <c r="AM137" s="8">
        <f t="shared" si="40"/>
        <v>0.98480000000000012</v>
      </c>
      <c r="AN137" s="56">
        <f t="shared" si="41"/>
        <v>1.38E-2</v>
      </c>
      <c r="AO137" s="9">
        <f t="shared" si="42"/>
        <v>3.8199999999999998E-2</v>
      </c>
      <c r="AX137" s="147"/>
      <c r="BO137">
        <f t="shared" si="47"/>
        <v>1.50467</v>
      </c>
      <c r="BP137">
        <f t="shared" si="43"/>
        <v>2.02454</v>
      </c>
      <c r="BQ137">
        <f t="shared" si="48"/>
        <v>1.6779600000000001</v>
      </c>
      <c r="BR137">
        <f t="shared" si="49"/>
        <v>1.33138</v>
      </c>
      <c r="BS137" s="8"/>
      <c r="BT137" s="90"/>
      <c r="BU137" s="8"/>
      <c r="BV137" s="90"/>
      <c r="BW137" s="4">
        <f t="shared" si="44"/>
        <v>406</v>
      </c>
    </row>
    <row r="138" spans="1:75" s="27" customFormat="1" thickTop="1" thickBot="1" x14ac:dyDescent="0.3">
      <c r="A138" s="21">
        <v>406</v>
      </c>
      <c r="B138" s="22">
        <v>41</v>
      </c>
      <c r="C138" s="22">
        <v>6</v>
      </c>
      <c r="D138" s="23"/>
      <c r="E138" s="24">
        <v>136</v>
      </c>
      <c r="F138" s="24">
        <v>13</v>
      </c>
      <c r="G138" s="25">
        <f t="shared" si="50"/>
        <v>123</v>
      </c>
      <c r="H138" s="23"/>
      <c r="I138" s="86">
        <v>113</v>
      </c>
      <c r="J138" s="3">
        <f>225-5.625*(B138-0.5-(I138-0.5*G138)/G138)</f>
        <v>-0.45731707317071368</v>
      </c>
      <c r="K138" s="26">
        <f t="shared" si="51"/>
        <v>186</v>
      </c>
      <c r="L138" s="23"/>
      <c r="N138" s="23"/>
      <c r="O138" s="28">
        <v>1.651</v>
      </c>
      <c r="P138" s="29">
        <v>6.5000000000000002E-2</v>
      </c>
      <c r="Q138" s="23"/>
      <c r="R138" s="30">
        <v>188</v>
      </c>
      <c r="S138" s="31">
        <v>74</v>
      </c>
      <c r="T138" s="32">
        <v>1800</v>
      </c>
      <c r="U138" s="23"/>
      <c r="V138" s="33">
        <v>2396</v>
      </c>
      <c r="W138" s="75">
        <f t="shared" si="38"/>
        <v>14.288933574781131</v>
      </c>
      <c r="X138" s="5"/>
      <c r="Y138" s="56"/>
      <c r="Z138" s="13" t="e">
        <f t="shared" si="45"/>
        <v>#DIV/0!</v>
      </c>
      <c r="AB138" s="27">
        <v>10</v>
      </c>
      <c r="AC138" s="27">
        <v>10</v>
      </c>
      <c r="AE138" s="5">
        <f t="shared" si="46"/>
        <v>406</v>
      </c>
      <c r="AF138" s="28"/>
      <c r="AG138" s="55"/>
      <c r="AH138" s="3"/>
      <c r="AJ138" s="5"/>
      <c r="AK138" s="2">
        <v>700</v>
      </c>
      <c r="AL138" s="7">
        <f t="shared" si="39"/>
        <v>0.13159999999999999</v>
      </c>
      <c r="AM138" s="8">
        <f t="shared" si="40"/>
        <v>1.5194000000000001</v>
      </c>
      <c r="AN138" s="56">
        <f t="shared" si="41"/>
        <v>5.1799999999999999E-2</v>
      </c>
      <c r="AO138" s="9">
        <f t="shared" si="42"/>
        <v>1.3200000000000003E-2</v>
      </c>
      <c r="AP138" s="5"/>
      <c r="AQ138" s="91"/>
      <c r="AR138" s="5"/>
      <c r="AS138" s="96"/>
      <c r="AT138" s="5"/>
      <c r="AU138" s="30"/>
      <c r="AV138" s="31"/>
      <c r="AW138" s="32"/>
      <c r="AX138" s="147"/>
      <c r="BN138" s="5"/>
      <c r="BO138">
        <f t="shared" si="47"/>
        <v>2.0876299999999999</v>
      </c>
      <c r="BP138">
        <f t="shared" si="43"/>
        <v>2.6558600000000001</v>
      </c>
      <c r="BQ138">
        <f t="shared" si="48"/>
        <v>2.27704</v>
      </c>
      <c r="BR138">
        <f t="shared" si="49"/>
        <v>1.89822</v>
      </c>
      <c r="BS138" s="28"/>
      <c r="BT138" s="91"/>
      <c r="BU138" s="28"/>
      <c r="BV138" s="91"/>
      <c r="BW138" s="4">
        <f t="shared" si="44"/>
        <v>406</v>
      </c>
    </row>
    <row r="139" spans="1:75" thickTop="1" thickBot="1" x14ac:dyDescent="0.3">
      <c r="A139" s="15">
        <v>416</v>
      </c>
      <c r="B139" s="16">
        <v>42</v>
      </c>
      <c r="C139" s="16">
        <v>6</v>
      </c>
      <c r="D139" s="17"/>
      <c r="E139" s="1">
        <v>135</v>
      </c>
      <c r="F139" s="1">
        <v>12</v>
      </c>
      <c r="G139" s="18">
        <f t="shared" si="50"/>
        <v>123</v>
      </c>
      <c r="H139" s="17"/>
      <c r="I139" s="19">
        <v>10</v>
      </c>
      <c r="J139" s="3">
        <f t="shared" si="32"/>
        <v>-6.0823170731707137</v>
      </c>
      <c r="K139" s="20">
        <f t="shared" si="51"/>
        <v>186</v>
      </c>
      <c r="L139" s="17"/>
      <c r="N139" s="17"/>
      <c r="O139" s="8">
        <v>0.28000000000000003</v>
      </c>
      <c r="P139" s="9">
        <v>2.5999999999999999E-2</v>
      </c>
      <c r="Q139" s="17"/>
      <c r="R139" s="10">
        <v>235</v>
      </c>
      <c r="S139" s="11">
        <v>25</v>
      </c>
      <c r="T139" s="12">
        <v>1000</v>
      </c>
      <c r="U139" s="17"/>
      <c r="V139" s="7">
        <v>402</v>
      </c>
      <c r="W139" s="13">
        <f t="shared" si="38"/>
        <v>14.995853489900043</v>
      </c>
      <c r="Z139" s="13" t="e">
        <f t="shared" si="45"/>
        <v>#DIV/0!</v>
      </c>
      <c r="AB139" s="72">
        <v>10</v>
      </c>
      <c r="AC139" s="72">
        <v>10</v>
      </c>
      <c r="AE139" s="5">
        <f t="shared" si="46"/>
        <v>416</v>
      </c>
      <c r="AF139" s="8">
        <f>(O139*AB139+O140*AB140+O141*AB141)/100</f>
        <v>0.9625999999999999</v>
      </c>
      <c r="AG139" s="56">
        <f>(P139*AC139+P140*AC140+P141*AC141)/100</f>
        <v>5.6899999999999992E-2</v>
      </c>
      <c r="AH139" s="3">
        <f>225-5.625*($B139-0.5)</f>
        <v>-8.4375</v>
      </c>
      <c r="AI139">
        <f>K139</f>
        <v>186</v>
      </c>
      <c r="AK139" s="2">
        <v>800</v>
      </c>
      <c r="AL139" s="7">
        <f t="shared" si="39"/>
        <v>0.188</v>
      </c>
      <c r="AM139" s="8">
        <f t="shared" si="40"/>
        <v>9.2000000000000026E-2</v>
      </c>
      <c r="AN139" s="56">
        <f t="shared" si="41"/>
        <v>0.02</v>
      </c>
      <c r="AO139" s="9">
        <f t="shared" si="42"/>
        <v>5.9999999999999984E-3</v>
      </c>
      <c r="AQ139" s="90">
        <f>($AB139*AM139+$AB140*AM140+$AB141*AM141)/100</f>
        <v>0.81552000000000002</v>
      </c>
      <c r="AS139" s="95">
        <f>($AB139*AO139+$AB140*AO140+$AB141*AO141)/100</f>
        <v>4.4219999999999995E-2</v>
      </c>
      <c r="AU139" s="10">
        <f>($AB139*R139+$AB140*R140+$AB141*R141)/100</f>
        <v>209.3</v>
      </c>
      <c r="AV139" s="11">
        <f>($AB139*S139+$AB140*S140+$AB141*S141)/100</f>
        <v>18.3</v>
      </c>
      <c r="AW139" s="12">
        <f>($AB139*T139+$AB140*T140+$AB141*T141)/100</f>
        <v>1120</v>
      </c>
      <c r="AX139" s="147">
        <f>($AB139*AK139+$AB140*AK140+$AB141*AK141)/100</f>
        <v>700</v>
      </c>
      <c r="BO139">
        <f t="shared" si="47"/>
        <v>0.80228750000000004</v>
      </c>
      <c r="BP139">
        <f t="shared" si="43"/>
        <v>1.512575</v>
      </c>
      <c r="BQ139">
        <f t="shared" si="48"/>
        <v>1.03905</v>
      </c>
      <c r="BR139">
        <f t="shared" si="49"/>
        <v>0.56552500000000006</v>
      </c>
      <c r="BS139" s="8">
        <f>($AB139*BO139+$AB140*BO140+$AB141*BO141)/100</f>
        <v>1.44812925</v>
      </c>
      <c r="BT139" s="90">
        <f>($AB139*BP139+$AB140*BP140+$AB141*BP141)/100</f>
        <v>2.0807384999999998</v>
      </c>
      <c r="BU139" s="8">
        <f>($AB139*BQ139+$AB140*BQ140+$AB141*BQ141)/100</f>
        <v>1.6589990000000001</v>
      </c>
      <c r="BV139" s="90">
        <f>($AB139*BR139+$AB140*BR140+$AB141*BR141)/100</f>
        <v>1.2372595</v>
      </c>
      <c r="BW139" s="4">
        <f t="shared" si="44"/>
        <v>416</v>
      </c>
    </row>
    <row r="140" spans="1:75" thickTop="1" thickBot="1" x14ac:dyDescent="0.3">
      <c r="A140" s="4">
        <v>416</v>
      </c>
      <c r="B140" s="2">
        <v>42</v>
      </c>
      <c r="C140" s="2">
        <v>6</v>
      </c>
      <c r="E140" s="1">
        <v>135</v>
      </c>
      <c r="F140" s="1">
        <v>12</v>
      </c>
      <c r="G140" s="3">
        <f t="shared" si="50"/>
        <v>123</v>
      </c>
      <c r="I140" s="2">
        <v>62</v>
      </c>
      <c r="J140" s="3">
        <f t="shared" si="32"/>
        <v>-8.4603658536585442</v>
      </c>
      <c r="K140" s="6">
        <f t="shared" si="51"/>
        <v>186</v>
      </c>
      <c r="O140" s="8">
        <v>1.079</v>
      </c>
      <c r="P140" s="9">
        <v>6.3E-2</v>
      </c>
      <c r="R140" s="10">
        <v>210</v>
      </c>
      <c r="S140" s="11">
        <v>15</v>
      </c>
      <c r="T140" s="12">
        <v>1100</v>
      </c>
      <c r="V140" s="7">
        <v>687</v>
      </c>
      <c r="W140" s="13">
        <f t="shared" si="38"/>
        <v>14.647731590827098</v>
      </c>
      <c r="Z140" s="13" t="e">
        <f t="shared" si="45"/>
        <v>#DIV/0!</v>
      </c>
      <c r="AB140" s="72">
        <v>80</v>
      </c>
      <c r="AC140" s="72">
        <v>80</v>
      </c>
      <c r="AE140" s="5">
        <f t="shared" si="46"/>
        <v>416</v>
      </c>
      <c r="AG140" s="56"/>
      <c r="AK140" s="2">
        <v>700</v>
      </c>
      <c r="AL140" s="7">
        <f t="shared" si="39"/>
        <v>0.14699999999999999</v>
      </c>
      <c r="AM140" s="8">
        <f t="shared" si="40"/>
        <v>0.93199999999999994</v>
      </c>
      <c r="AN140" s="56">
        <f t="shared" si="41"/>
        <v>1.0499999999999999E-2</v>
      </c>
      <c r="AO140" s="9">
        <f t="shared" si="42"/>
        <v>5.2500000000000005E-2</v>
      </c>
      <c r="AX140" s="147"/>
      <c r="BO140">
        <f t="shared" si="47"/>
        <v>1.5667249999999999</v>
      </c>
      <c r="BP140">
        <f t="shared" si="43"/>
        <v>2.2014499999999999</v>
      </c>
      <c r="BQ140">
        <f t="shared" si="48"/>
        <v>1.7783</v>
      </c>
      <c r="BR140">
        <f t="shared" si="49"/>
        <v>1.3551500000000001</v>
      </c>
      <c r="BS140" s="8"/>
      <c r="BT140" s="90"/>
      <c r="BU140" s="8"/>
      <c r="BV140" s="90"/>
      <c r="BW140" s="4">
        <f t="shared" si="44"/>
        <v>416</v>
      </c>
    </row>
    <row r="141" spans="1:75" s="27" customFormat="1" thickTop="1" thickBot="1" x14ac:dyDescent="0.3">
      <c r="A141" s="21">
        <v>416</v>
      </c>
      <c r="B141" s="22">
        <v>42</v>
      </c>
      <c r="C141" s="22">
        <v>6</v>
      </c>
      <c r="D141" s="23"/>
      <c r="E141" s="24">
        <v>135</v>
      </c>
      <c r="F141" s="24">
        <v>12</v>
      </c>
      <c r="G141" s="25">
        <f t="shared" si="50"/>
        <v>123</v>
      </c>
      <c r="H141" s="23"/>
      <c r="I141" s="22">
        <v>114</v>
      </c>
      <c r="J141" s="3">
        <f t="shared" si="32"/>
        <v>-10.838414634146346</v>
      </c>
      <c r="K141" s="26">
        <f t="shared" si="51"/>
        <v>186</v>
      </c>
      <c r="L141" s="23"/>
      <c r="N141" s="23"/>
      <c r="O141" s="28">
        <v>0.71399999999999997</v>
      </c>
      <c r="P141" s="29">
        <v>3.9E-2</v>
      </c>
      <c r="Q141" s="23"/>
      <c r="R141" s="30">
        <v>178</v>
      </c>
      <c r="S141" s="31">
        <v>38</v>
      </c>
      <c r="T141" s="32">
        <v>1400</v>
      </c>
      <c r="U141" s="23"/>
      <c r="V141" s="33">
        <v>863</v>
      </c>
      <c r="W141" s="75">
        <f t="shared" si="38"/>
        <v>14.546047075258734</v>
      </c>
      <c r="X141" s="5"/>
      <c r="Y141" s="56"/>
      <c r="Z141" s="13" t="e">
        <f t="shared" si="45"/>
        <v>#DIV/0!</v>
      </c>
      <c r="AB141" s="27">
        <v>10</v>
      </c>
      <c r="AC141" s="27">
        <v>10</v>
      </c>
      <c r="AE141" s="5">
        <f t="shared" si="46"/>
        <v>416</v>
      </c>
      <c r="AF141" s="28"/>
      <c r="AG141" s="55"/>
      <c r="AH141" s="3"/>
      <c r="AJ141" s="5"/>
      <c r="AK141" s="2">
        <v>600</v>
      </c>
      <c r="AL141" s="7">
        <f t="shared" si="39"/>
        <v>0.10679999999999999</v>
      </c>
      <c r="AM141" s="8">
        <f t="shared" si="40"/>
        <v>0.60719999999999996</v>
      </c>
      <c r="AN141" s="56">
        <f t="shared" si="41"/>
        <v>2.2799999999999997E-2</v>
      </c>
      <c r="AO141" s="9">
        <f t="shared" si="42"/>
        <v>1.6200000000000003E-2</v>
      </c>
      <c r="AP141" s="5"/>
      <c r="AQ141" s="91"/>
      <c r="AR141" s="5"/>
      <c r="AS141" s="96"/>
      <c r="AT141" s="5"/>
      <c r="AU141" s="30"/>
      <c r="AV141" s="31"/>
      <c r="AW141" s="32"/>
      <c r="AX141" s="147"/>
      <c r="BN141" s="5"/>
      <c r="BO141">
        <f t="shared" si="47"/>
        <v>1.145205</v>
      </c>
      <c r="BP141">
        <f t="shared" si="43"/>
        <v>1.6832099999999999</v>
      </c>
      <c r="BQ141">
        <f t="shared" si="48"/>
        <v>1.3245399999999998</v>
      </c>
      <c r="BR141">
        <f t="shared" si="49"/>
        <v>0.96587000000000001</v>
      </c>
      <c r="BS141" s="28"/>
      <c r="BT141" s="91"/>
      <c r="BU141" s="28"/>
      <c r="BV141" s="91"/>
      <c r="BW141" s="4">
        <f t="shared" si="44"/>
        <v>416</v>
      </c>
    </row>
    <row r="142" spans="1:75" thickTop="1" thickBot="1" x14ac:dyDescent="0.3">
      <c r="A142" s="15">
        <v>426</v>
      </c>
      <c r="B142" s="16">
        <v>43</v>
      </c>
      <c r="C142" s="16">
        <v>6</v>
      </c>
      <c r="D142" s="17"/>
      <c r="E142" s="1">
        <v>137</v>
      </c>
      <c r="F142" s="1">
        <v>13</v>
      </c>
      <c r="G142" s="18">
        <f t="shared" si="50"/>
        <v>124</v>
      </c>
      <c r="H142" s="17"/>
      <c r="I142" s="19">
        <v>10</v>
      </c>
      <c r="J142" s="3">
        <f t="shared" si="32"/>
        <v>-11.70362903225805</v>
      </c>
      <c r="K142" s="20">
        <f t="shared" si="51"/>
        <v>186</v>
      </c>
      <c r="L142" s="17"/>
      <c r="N142" s="17"/>
      <c r="O142" s="8">
        <v>0.7</v>
      </c>
      <c r="P142" s="9">
        <v>4.3999999999999997E-2</v>
      </c>
      <c r="Q142" s="17"/>
      <c r="R142" s="10">
        <v>86</v>
      </c>
      <c r="S142" s="11">
        <v>28</v>
      </c>
      <c r="T142" s="12">
        <v>900</v>
      </c>
      <c r="U142" s="17"/>
      <c r="V142" s="7">
        <v>124</v>
      </c>
      <c r="W142" s="13">
        <f t="shared" si="38"/>
        <v>16.752467319482303</v>
      </c>
      <c r="Y142" s="56">
        <v>26</v>
      </c>
      <c r="Z142" s="13">
        <f t="shared" si="45"/>
        <v>0.24178820993079556</v>
      </c>
      <c r="AB142" s="72">
        <v>10</v>
      </c>
      <c r="AC142" s="72">
        <v>10</v>
      </c>
      <c r="AE142" s="5">
        <f t="shared" si="46"/>
        <v>426</v>
      </c>
      <c r="AF142" s="8">
        <f>(O142*AB142+O143*AB143+O144*AB144)/100</f>
        <v>0.80570000000000008</v>
      </c>
      <c r="AG142" s="56">
        <f>(P142*AC142+P143*AC143+P144*AC144)/100</f>
        <v>5.0399999999999993E-2</v>
      </c>
      <c r="AH142" s="3">
        <f>225-5.625*($B142-0.5)</f>
        <v>-14.0625</v>
      </c>
      <c r="AI142">
        <f>K142</f>
        <v>186</v>
      </c>
      <c r="AK142" s="2">
        <v>700</v>
      </c>
      <c r="AL142" s="7">
        <f t="shared" si="39"/>
        <v>6.0199999999999997E-2</v>
      </c>
      <c r="AM142" s="8">
        <f t="shared" si="40"/>
        <v>0.63979999999999992</v>
      </c>
      <c r="AN142" s="56">
        <f t="shared" si="41"/>
        <v>1.9599999999999999E-2</v>
      </c>
      <c r="AO142" s="9">
        <f t="shared" si="42"/>
        <v>2.4399999999999998E-2</v>
      </c>
      <c r="AQ142" s="90">
        <f>($AB142*AM142+$AB143*AM143+$AB144*AM144)/100</f>
        <v>0.71883000000000008</v>
      </c>
      <c r="AS142" s="95">
        <f>($AB142*AO142+$AB143*AO143+$AB144*AO144)/100</f>
        <v>2.5970000000000003E-2</v>
      </c>
      <c r="AU142" s="10">
        <f>($AB142*R142+$AB143*R143+$AB144*R144)/100</f>
        <v>124.1</v>
      </c>
      <c r="AV142" s="11">
        <f>($AB142*S142+$AB143*S143+$AB144*S144)/100</f>
        <v>34.9</v>
      </c>
      <c r="AW142" s="12">
        <f>($AB142*T142+$AB143*T143+$AB144*T144)/100</f>
        <v>990</v>
      </c>
      <c r="AX142" s="147">
        <f>($AB142*AK142+$AB143*AK143+$AB144*AK144)/100</f>
        <v>700</v>
      </c>
      <c r="BO142">
        <f t="shared" si="47"/>
        <v>0.89973499999999995</v>
      </c>
      <c r="BP142">
        <f t="shared" si="43"/>
        <v>1.15967</v>
      </c>
      <c r="BQ142">
        <f t="shared" si="48"/>
        <v>0.98638000000000003</v>
      </c>
      <c r="BR142">
        <f t="shared" si="49"/>
        <v>0.81308999999999998</v>
      </c>
      <c r="BS142" s="8">
        <f>($AB142*BO142+$AB143*BO143+$AB144*BO144)/100</f>
        <v>1.0939222500000001</v>
      </c>
      <c r="BT142" s="90">
        <f>($AB142*BP142+$AB143*BP143+$AB144*BP144)/100</f>
        <v>1.4690145000000001</v>
      </c>
      <c r="BU142" s="8">
        <f>($AB142*BQ142+$AB143*BQ143+$AB144*BQ144)/100</f>
        <v>1.218953</v>
      </c>
      <c r="BV142" s="90">
        <f>($AB142*BR142+$AB143*BR143+$AB144*BR144)/100</f>
        <v>0.96889150000000002</v>
      </c>
      <c r="BW142" s="4">
        <f t="shared" si="44"/>
        <v>426</v>
      </c>
    </row>
    <row r="143" spans="1:75" thickTop="1" thickBot="1" x14ac:dyDescent="0.3">
      <c r="A143" s="4">
        <v>426</v>
      </c>
      <c r="B143" s="2">
        <v>43</v>
      </c>
      <c r="C143" s="2">
        <v>6</v>
      </c>
      <c r="E143" s="1">
        <v>137</v>
      </c>
      <c r="F143" s="1">
        <v>13</v>
      </c>
      <c r="G143" s="3">
        <f t="shared" si="50"/>
        <v>124</v>
      </c>
      <c r="I143" s="2">
        <v>62</v>
      </c>
      <c r="J143" s="3">
        <f t="shared" si="32"/>
        <v>-14.0625</v>
      </c>
      <c r="K143" s="6">
        <f t="shared" si="51"/>
        <v>186</v>
      </c>
      <c r="O143" s="8">
        <v>0.80500000000000005</v>
      </c>
      <c r="P143" s="9">
        <v>0.05</v>
      </c>
      <c r="R143" s="10">
        <v>120</v>
      </c>
      <c r="S143" s="11">
        <v>37</v>
      </c>
      <c r="T143" s="12">
        <v>1000</v>
      </c>
      <c r="V143" s="7">
        <v>881</v>
      </c>
      <c r="W143" s="13">
        <f t="shared" si="38"/>
        <v>14.537906926306722</v>
      </c>
      <c r="Y143" s="56">
        <v>185</v>
      </c>
      <c r="Z143" s="13">
        <f t="shared" si="45"/>
        <v>0.15939073186796468</v>
      </c>
      <c r="AB143" s="72">
        <v>80</v>
      </c>
      <c r="AC143" s="72">
        <v>80</v>
      </c>
      <c r="AE143" s="5">
        <f t="shared" si="46"/>
        <v>426</v>
      </c>
      <c r="AG143" s="56"/>
      <c r="AK143" s="2">
        <v>700</v>
      </c>
      <c r="AL143" s="7">
        <f t="shared" si="39"/>
        <v>8.3999999999999991E-2</v>
      </c>
      <c r="AM143" s="8">
        <f t="shared" si="40"/>
        <v>0.72100000000000009</v>
      </c>
      <c r="AN143" s="56">
        <f t="shared" si="41"/>
        <v>2.5899999999999999E-2</v>
      </c>
      <c r="AO143" s="9">
        <f t="shared" si="42"/>
        <v>2.4100000000000003E-2</v>
      </c>
      <c r="AX143" s="147"/>
      <c r="BO143">
        <f t="shared" si="47"/>
        <v>1.0837000000000001</v>
      </c>
      <c r="BP143">
        <f t="shared" si="43"/>
        <v>1.4464000000000001</v>
      </c>
      <c r="BQ143">
        <f t="shared" si="48"/>
        <v>1.2046000000000001</v>
      </c>
      <c r="BR143">
        <f t="shared" si="49"/>
        <v>0.9628000000000001</v>
      </c>
      <c r="BS143" s="8"/>
      <c r="BT143" s="90"/>
      <c r="BU143" s="8"/>
      <c r="BV143" s="90"/>
      <c r="BW143" s="4">
        <f t="shared" si="44"/>
        <v>426</v>
      </c>
    </row>
    <row r="144" spans="1:75" s="27" customFormat="1" thickTop="1" thickBot="1" x14ac:dyDescent="0.3">
      <c r="A144" s="21">
        <v>426</v>
      </c>
      <c r="B144" s="22">
        <v>43</v>
      </c>
      <c r="C144" s="22">
        <v>6</v>
      </c>
      <c r="D144" s="23"/>
      <c r="E144" s="24">
        <v>137</v>
      </c>
      <c r="F144" s="24">
        <v>13</v>
      </c>
      <c r="G144" s="25">
        <f t="shared" si="50"/>
        <v>124</v>
      </c>
      <c r="H144" s="23"/>
      <c r="I144" s="22">
        <v>114</v>
      </c>
      <c r="J144" s="3">
        <f t="shared" ref="J144:J207" si="52">225-5.625*(B144-0.5+(I144-0.5*G144)/G144)</f>
        <v>-16.42137096774195</v>
      </c>
      <c r="K144" s="26">
        <f t="shared" si="51"/>
        <v>186</v>
      </c>
      <c r="L144" s="23"/>
      <c r="N144" s="23"/>
      <c r="O144" s="28">
        <v>0.91700000000000004</v>
      </c>
      <c r="P144" s="29">
        <v>0.06</v>
      </c>
      <c r="Q144" s="23"/>
      <c r="R144" s="30">
        <v>195</v>
      </c>
      <c r="S144" s="31">
        <v>25</v>
      </c>
      <c r="T144" s="32">
        <v>1000</v>
      </c>
      <c r="U144" s="23"/>
      <c r="V144" s="33">
        <v>1971</v>
      </c>
      <c r="W144" s="75">
        <f t="shared" si="38"/>
        <v>14.320389894042773</v>
      </c>
      <c r="X144" s="5"/>
      <c r="Y144" s="55">
        <v>426</v>
      </c>
      <c r="Z144" s="13">
        <f t="shared" si="45"/>
        <v>0.14949052759414422</v>
      </c>
      <c r="AB144" s="27">
        <v>10</v>
      </c>
      <c r="AC144" s="27">
        <v>10</v>
      </c>
      <c r="AE144" s="5">
        <f t="shared" si="46"/>
        <v>426</v>
      </c>
      <c r="AF144" s="28"/>
      <c r="AG144" s="55"/>
      <c r="AH144" s="3"/>
      <c r="AJ144" s="5"/>
      <c r="AK144" s="2">
        <v>700</v>
      </c>
      <c r="AL144" s="7">
        <f t="shared" si="39"/>
        <v>0.13649999999999998</v>
      </c>
      <c r="AM144" s="8">
        <f t="shared" si="40"/>
        <v>0.78050000000000008</v>
      </c>
      <c r="AN144" s="56">
        <f t="shared" si="41"/>
        <v>1.7499999999999998E-2</v>
      </c>
      <c r="AO144" s="9">
        <f t="shared" si="42"/>
        <v>4.2499999999999996E-2</v>
      </c>
      <c r="AP144" s="5"/>
      <c r="AQ144" s="91"/>
      <c r="AR144" s="5"/>
      <c r="AS144" s="96"/>
      <c r="AT144" s="5"/>
      <c r="AU144" s="30"/>
      <c r="AV144" s="31"/>
      <c r="AW144" s="32"/>
      <c r="AX144" s="147"/>
      <c r="BN144" s="5"/>
      <c r="BO144">
        <f t="shared" si="47"/>
        <v>1.3698874999999999</v>
      </c>
      <c r="BP144">
        <f t="shared" si="43"/>
        <v>1.9592750000000001</v>
      </c>
      <c r="BQ144">
        <f t="shared" si="48"/>
        <v>1.5663499999999999</v>
      </c>
      <c r="BR144">
        <f t="shared" si="49"/>
        <v>1.1734249999999999</v>
      </c>
      <c r="BS144" s="28"/>
      <c r="BT144" s="91"/>
      <c r="BU144" s="28"/>
      <c r="BV144" s="91"/>
      <c r="BW144" s="4">
        <f t="shared" si="44"/>
        <v>426</v>
      </c>
    </row>
    <row r="145" spans="1:75" thickTop="1" thickBot="1" x14ac:dyDescent="0.3">
      <c r="A145" s="15">
        <v>436</v>
      </c>
      <c r="B145" s="16">
        <v>44</v>
      </c>
      <c r="C145" s="16">
        <v>6</v>
      </c>
      <c r="D145" s="17"/>
      <c r="E145" s="1">
        <v>132</v>
      </c>
      <c r="F145" s="1">
        <v>14</v>
      </c>
      <c r="G145" s="18">
        <f t="shared" si="50"/>
        <v>118</v>
      </c>
      <c r="H145" s="17"/>
      <c r="I145" s="19">
        <v>10</v>
      </c>
      <c r="J145" s="3">
        <f t="shared" si="52"/>
        <v>-17.351694915254228</v>
      </c>
      <c r="K145" s="20">
        <f t="shared" si="51"/>
        <v>186</v>
      </c>
      <c r="L145" s="17"/>
      <c r="N145" s="17"/>
      <c r="O145" s="8">
        <v>0.46500000000000002</v>
      </c>
      <c r="P145" s="9">
        <v>7.1999999999999995E-2</v>
      </c>
      <c r="Q145" s="17"/>
      <c r="R145" s="10">
        <v>132</v>
      </c>
      <c r="S145" s="11">
        <v>10</v>
      </c>
      <c r="T145" s="12">
        <v>800</v>
      </c>
      <c r="U145" s="17"/>
      <c r="V145" s="7">
        <v>927</v>
      </c>
      <c r="W145" s="13">
        <f t="shared" si="38"/>
        <v>14.518522187731156</v>
      </c>
      <c r="Y145" s="56">
        <v>409</v>
      </c>
      <c r="Z145" s="13">
        <f t="shared" si="45"/>
        <v>0.14981651369278731</v>
      </c>
      <c r="AB145" s="72">
        <v>10</v>
      </c>
      <c r="AC145" s="72">
        <v>10</v>
      </c>
      <c r="AE145" s="5">
        <f t="shared" si="46"/>
        <v>436</v>
      </c>
      <c r="AF145" s="8">
        <f>(O145*AB145+O146*AB146+O147*AB147)/100</f>
        <v>0.50385000000000002</v>
      </c>
      <c r="AG145" s="56">
        <f>(P145*AC145+P146*AC146+P147*AC147)/100</f>
        <v>5.3249999999999999E-2</v>
      </c>
      <c r="AH145" s="3">
        <f>225-5.625*($B145-0.5)</f>
        <v>-19.6875</v>
      </c>
      <c r="AI145">
        <f>K145</f>
        <v>186</v>
      </c>
      <c r="AK145" s="2">
        <v>500</v>
      </c>
      <c r="AL145" s="7">
        <f t="shared" si="39"/>
        <v>6.6000000000000003E-2</v>
      </c>
      <c r="AM145" s="8">
        <f t="shared" si="40"/>
        <v>0.39900000000000002</v>
      </c>
      <c r="AN145" s="56">
        <f t="shared" si="41"/>
        <v>5.0000000000000001E-3</v>
      </c>
      <c r="AO145" s="9">
        <f t="shared" si="42"/>
        <v>6.699999999999999E-2</v>
      </c>
      <c r="AQ145" s="90">
        <f>($AB145*AM145+$AB146*AM146+$AB147*AM147)/100</f>
        <v>0.37896000000000002</v>
      </c>
      <c r="AS145" s="95">
        <f>($AB145*AO145+$AB146*AO146+$AB147*AO147)/100</f>
        <v>4.0419999999999998E-2</v>
      </c>
      <c r="AU145" s="10">
        <f>($AB145*R145+$AB146*R146+$AB147*R147)/100</f>
        <v>168.6</v>
      </c>
      <c r="AV145" s="11">
        <f>($AB145*S145+$AB146*S146+$AB147*S147)/100</f>
        <v>17.8</v>
      </c>
      <c r="AW145" s="12">
        <f>($AB145*T145+$AB146*T146+$AB147*T147)/100</f>
        <v>875</v>
      </c>
      <c r="AX145" s="147">
        <f>($AB145*AK145+$AB146*AK146+$AB147*AK147)/100</f>
        <v>740</v>
      </c>
      <c r="BO145">
        <f t="shared" si="47"/>
        <v>0.79797000000000007</v>
      </c>
      <c r="BP145">
        <f t="shared" si="43"/>
        <v>1.1969400000000001</v>
      </c>
      <c r="BQ145">
        <f t="shared" si="48"/>
        <v>0.93096000000000001</v>
      </c>
      <c r="BR145">
        <f t="shared" si="49"/>
        <v>0.66498000000000002</v>
      </c>
      <c r="BS145" s="8">
        <f>($AB145*BO145+$AB146*BO146+$AB147*BO147)/100</f>
        <v>0.88855349999999989</v>
      </c>
      <c r="BT145" s="90">
        <f>($AB145*BP145+$AB146*BP146+$AB147*BP147)/100</f>
        <v>1.3981470000000003</v>
      </c>
      <c r="BU145" s="8">
        <f>($AB145*BQ145+$AB146*BQ146+$AB147*BQ147)/100</f>
        <v>1.0584179999999999</v>
      </c>
      <c r="BV145" s="90">
        <f>($AB145*BR145+$AB146*BR146+$AB147*BR147)/100</f>
        <v>0.71868899999999991</v>
      </c>
      <c r="BW145" s="4">
        <f t="shared" si="44"/>
        <v>436</v>
      </c>
    </row>
    <row r="146" spans="1:75" thickTop="1" thickBot="1" x14ac:dyDescent="0.3">
      <c r="A146" s="4">
        <v>436</v>
      </c>
      <c r="B146" s="2">
        <v>44</v>
      </c>
      <c r="C146" s="2">
        <v>6</v>
      </c>
      <c r="E146" s="1">
        <v>132</v>
      </c>
      <c r="F146" s="1">
        <v>14</v>
      </c>
      <c r="G146" s="3">
        <f t="shared" si="50"/>
        <v>118</v>
      </c>
      <c r="I146" s="2">
        <v>59</v>
      </c>
      <c r="J146" s="3">
        <f t="shared" si="52"/>
        <v>-19.6875</v>
      </c>
      <c r="K146" s="6">
        <f t="shared" si="51"/>
        <v>186</v>
      </c>
      <c r="O146" s="8">
        <v>0.57199999999999995</v>
      </c>
      <c r="P146" s="9">
        <v>5.7000000000000002E-2</v>
      </c>
      <c r="R146" s="10">
        <v>167</v>
      </c>
      <c r="S146" s="11">
        <v>15</v>
      </c>
      <c r="T146" s="12">
        <v>900</v>
      </c>
      <c r="V146" s="7">
        <v>756</v>
      </c>
      <c r="W146" s="13">
        <f t="shared" si="38"/>
        <v>14.602311913786572</v>
      </c>
      <c r="Y146" s="56">
        <v>232</v>
      </c>
      <c r="Z146" s="13">
        <f t="shared" si="45"/>
        <v>0.15591775020050222</v>
      </c>
      <c r="AB146" s="72">
        <v>75</v>
      </c>
      <c r="AC146" s="72">
        <v>75</v>
      </c>
      <c r="AE146" s="5">
        <f t="shared" si="46"/>
        <v>436</v>
      </c>
      <c r="AG146" s="56"/>
      <c r="AK146" s="2">
        <v>800</v>
      </c>
      <c r="AL146" s="7">
        <f t="shared" si="39"/>
        <v>0.1336</v>
      </c>
      <c r="AM146" s="8">
        <f t="shared" si="40"/>
        <v>0.43839999999999996</v>
      </c>
      <c r="AN146" s="56">
        <f t="shared" si="41"/>
        <v>1.2E-2</v>
      </c>
      <c r="AO146" s="9">
        <f t="shared" si="42"/>
        <v>4.4999999999999998E-2</v>
      </c>
      <c r="AX146" s="147"/>
      <c r="BO146">
        <f t="shared" si="47"/>
        <v>0.94315749999999987</v>
      </c>
      <c r="BP146">
        <f t="shared" si="43"/>
        <v>1.4479150000000001</v>
      </c>
      <c r="BQ146">
        <f t="shared" si="48"/>
        <v>1.1114099999999998</v>
      </c>
      <c r="BR146">
        <f t="shared" si="49"/>
        <v>0.77490499999999995</v>
      </c>
      <c r="BS146" s="8"/>
      <c r="BT146" s="90"/>
      <c r="BU146" s="8"/>
      <c r="BV146" s="90"/>
      <c r="BW146" s="4">
        <f t="shared" si="44"/>
        <v>436</v>
      </c>
    </row>
    <row r="147" spans="1:75" s="27" customFormat="1" thickTop="1" thickBot="1" x14ac:dyDescent="0.3">
      <c r="A147" s="21">
        <v>436</v>
      </c>
      <c r="B147" s="22">
        <v>44</v>
      </c>
      <c r="C147" s="22">
        <v>6</v>
      </c>
      <c r="D147" s="23"/>
      <c r="E147" s="24">
        <v>132</v>
      </c>
      <c r="F147" s="24">
        <v>14</v>
      </c>
      <c r="G147" s="25">
        <f t="shared" si="50"/>
        <v>118</v>
      </c>
      <c r="H147" s="23"/>
      <c r="I147" s="22">
        <v>108</v>
      </c>
      <c r="J147" s="3">
        <f t="shared" si="52"/>
        <v>-22.023305084745772</v>
      </c>
      <c r="K147" s="26">
        <f t="shared" si="51"/>
        <v>186</v>
      </c>
      <c r="L147" s="23"/>
      <c r="N147" s="23"/>
      <c r="O147" s="28">
        <v>0.189</v>
      </c>
      <c r="P147" s="29">
        <v>2.1999999999999999E-2</v>
      </c>
      <c r="Q147" s="23"/>
      <c r="R147" s="30">
        <v>201</v>
      </c>
      <c r="S147" s="31">
        <v>37</v>
      </c>
      <c r="T147" s="32">
        <v>800</v>
      </c>
      <c r="U147" s="23"/>
      <c r="V147" s="33">
        <v>0</v>
      </c>
      <c r="W147" s="75" t="e">
        <f t="shared" si="38"/>
        <v>#DIV/0!</v>
      </c>
      <c r="X147" s="5"/>
      <c r="Y147" s="55">
        <v>0</v>
      </c>
      <c r="Z147" s="13" t="e">
        <f t="shared" si="45"/>
        <v>#DIV/0!</v>
      </c>
      <c r="AB147" s="27">
        <v>15</v>
      </c>
      <c r="AC147" s="27">
        <v>15</v>
      </c>
      <c r="AE147" s="5">
        <f t="shared" si="46"/>
        <v>436</v>
      </c>
      <c r="AF147" s="28"/>
      <c r="AG147" s="55"/>
      <c r="AH147" s="3"/>
      <c r="AJ147" s="5"/>
      <c r="AK147" s="2">
        <v>600</v>
      </c>
      <c r="AL147" s="7">
        <f t="shared" si="39"/>
        <v>0.1206</v>
      </c>
      <c r="AM147" s="8">
        <f t="shared" si="40"/>
        <v>6.8400000000000002E-2</v>
      </c>
      <c r="AN147" s="56">
        <f t="shared" si="41"/>
        <v>2.2199999999999998E-2</v>
      </c>
      <c r="AO147" s="9">
        <f t="shared" si="42"/>
        <v>-1.9999999999999879E-4</v>
      </c>
      <c r="AP147" s="5"/>
      <c r="AQ147" s="91"/>
      <c r="AR147" s="5"/>
      <c r="AS147" s="96"/>
      <c r="AT147" s="5"/>
      <c r="AU147" s="30"/>
      <c r="AV147" s="31"/>
      <c r="AW147" s="32"/>
      <c r="AX147" s="147"/>
      <c r="BN147" s="5"/>
      <c r="BO147">
        <f t="shared" si="47"/>
        <v>0.67592249999999998</v>
      </c>
      <c r="BP147">
        <f t="shared" si="43"/>
        <v>1.2834449999999999</v>
      </c>
      <c r="BQ147">
        <f t="shared" si="48"/>
        <v>0.87843000000000004</v>
      </c>
      <c r="BR147">
        <f t="shared" si="49"/>
        <v>0.47341499999999997</v>
      </c>
      <c r="BS147" s="28"/>
      <c r="BT147" s="91"/>
      <c r="BU147" s="28"/>
      <c r="BV147" s="91"/>
      <c r="BW147" s="4">
        <f t="shared" si="44"/>
        <v>436</v>
      </c>
    </row>
    <row r="148" spans="1:75" thickTop="1" thickBot="1" x14ac:dyDescent="0.3">
      <c r="A148" s="15">
        <v>441</v>
      </c>
      <c r="B148" s="16">
        <v>45</v>
      </c>
      <c r="C148" s="16">
        <v>1</v>
      </c>
      <c r="D148" s="17"/>
      <c r="E148" s="1">
        <v>144</v>
      </c>
      <c r="F148" s="1">
        <v>-1</v>
      </c>
      <c r="G148" s="18">
        <f t="shared" si="50"/>
        <v>145</v>
      </c>
      <c r="H148" s="17"/>
      <c r="I148" s="19">
        <v>10</v>
      </c>
      <c r="J148" s="3">
        <f t="shared" si="52"/>
        <v>-22.887931034482762</v>
      </c>
      <c r="K148" s="20">
        <f t="shared" si="51"/>
        <v>126</v>
      </c>
      <c r="L148" s="17"/>
      <c r="N148" s="17"/>
      <c r="O148" s="8">
        <v>0.56100000000000005</v>
      </c>
      <c r="P148" s="9">
        <v>0.19900000000000001</v>
      </c>
      <c r="Q148" s="17"/>
      <c r="R148" s="10">
        <v>103</v>
      </c>
      <c r="S148" s="11">
        <v>45</v>
      </c>
      <c r="T148" s="12">
        <v>500</v>
      </c>
      <c r="U148" s="17"/>
      <c r="V148" s="7">
        <v>1273</v>
      </c>
      <c r="W148" s="13">
        <f t="shared" si="38"/>
        <v>14.417193192309776</v>
      </c>
      <c r="Y148" s="56">
        <v>1471</v>
      </c>
      <c r="Z148" s="13">
        <f t="shared" si="45"/>
        <v>0.14380476227613981</v>
      </c>
      <c r="AB148" s="72">
        <v>5</v>
      </c>
      <c r="AC148" s="72">
        <v>5</v>
      </c>
      <c r="AE148" s="5">
        <f t="shared" si="46"/>
        <v>441</v>
      </c>
      <c r="AF148" s="8">
        <f>(O148*AB148+O149*AB149+O150*AB150)/100</f>
        <v>0.46850000000000003</v>
      </c>
      <c r="AG148" s="56">
        <f>(P148*AC148+P149*AC149+P150*AC150)/100</f>
        <v>0.2011</v>
      </c>
      <c r="AH148" s="3">
        <f>225-5.625*($B148-0.5)</f>
        <v>-25.3125</v>
      </c>
      <c r="AI148">
        <f>K148</f>
        <v>126</v>
      </c>
      <c r="AK148" s="2">
        <v>700</v>
      </c>
      <c r="AL148" s="7">
        <f t="shared" si="39"/>
        <v>7.2099999999999997E-2</v>
      </c>
      <c r="AM148" s="8">
        <f t="shared" si="40"/>
        <v>0.48890000000000006</v>
      </c>
      <c r="AN148" s="56">
        <f t="shared" si="41"/>
        <v>3.15E-2</v>
      </c>
      <c r="AO148" s="9">
        <f t="shared" si="42"/>
        <v>0.16750000000000001</v>
      </c>
      <c r="AQ148" s="90">
        <f>($AB148*AM148+$AB149*AM149+$AB150*AM150)/100</f>
        <v>0.27823500000000001</v>
      </c>
      <c r="AS148" s="95">
        <f>($AB148*AO148+$AB149*AO149+$AB150*AO150)/100</f>
        <v>0.13328500000000001</v>
      </c>
      <c r="AU148" s="10">
        <f>($AB148*R148+$AB149*R149+$AB150*R150)/100</f>
        <v>212.55</v>
      </c>
      <c r="AV148" s="11">
        <f>($AB148*S148+$AB149*S149+$AB150*S150)/100</f>
        <v>75.849999999999994</v>
      </c>
      <c r="AW148" s="12">
        <f>($AB148*T148+$AB149*T149+$AB150*T150)/100</f>
        <v>1035</v>
      </c>
      <c r="AX148" s="147">
        <f>($AB148*AK148+$AB149*AK149+$AB150*AK150)/100</f>
        <v>890</v>
      </c>
      <c r="BO148">
        <f t="shared" si="47"/>
        <v>0.80021750000000003</v>
      </c>
      <c r="BP148">
        <f t="shared" si="43"/>
        <v>1.1115349999999999</v>
      </c>
      <c r="BQ148">
        <f t="shared" si="48"/>
        <v>0.90399000000000007</v>
      </c>
      <c r="BR148">
        <f t="shared" si="49"/>
        <v>0.69644500000000009</v>
      </c>
      <c r="BS148" s="8">
        <f>($AB148*BO148+$AB149*BO149+$AB150*BO150)/100</f>
        <v>0.92066737500000007</v>
      </c>
      <c r="BT148" s="90">
        <f>($AB148*BP148+$AB149*BP149+$AB150*BP150)/100</f>
        <v>1.5630997500000001</v>
      </c>
      <c r="BU148" s="8">
        <f>($AB148*BQ148+$AB149*BQ149+$AB150*BQ150)/100</f>
        <v>1.1348115000000001</v>
      </c>
      <c r="BV148" s="90">
        <f>($AB148*BR148+$AB149*BR149+$AB150*BR150)/100</f>
        <v>0.70652325000000005</v>
      </c>
      <c r="BW148" s="4">
        <f t="shared" si="44"/>
        <v>441</v>
      </c>
    </row>
    <row r="149" spans="1:75" thickTop="1" thickBot="1" x14ac:dyDescent="0.3">
      <c r="A149" s="4">
        <v>441</v>
      </c>
      <c r="B149" s="93">
        <v>45</v>
      </c>
      <c r="C149" s="93">
        <v>1</v>
      </c>
      <c r="E149" s="1">
        <v>144</v>
      </c>
      <c r="F149" s="1">
        <v>-1</v>
      </c>
      <c r="G149" s="3">
        <f t="shared" si="50"/>
        <v>145</v>
      </c>
      <c r="I149" s="2">
        <v>73</v>
      </c>
      <c r="J149" s="3">
        <f t="shared" si="52"/>
        <v>-25.331896551724128</v>
      </c>
      <c r="K149" s="6">
        <f t="shared" si="51"/>
        <v>126</v>
      </c>
      <c r="O149" s="8">
        <v>0.216</v>
      </c>
      <c r="P149" s="9">
        <v>0.24199999999999999</v>
      </c>
      <c r="R149" s="10">
        <v>62</v>
      </c>
      <c r="S149" s="11">
        <v>88</v>
      </c>
      <c r="T149" s="12">
        <v>1300</v>
      </c>
      <c r="V149" s="7">
        <v>305</v>
      </c>
      <c r="W149" s="13">
        <f t="shared" si="38"/>
        <v>15.2573551196104</v>
      </c>
      <c r="Y149" s="56">
        <v>1836</v>
      </c>
      <c r="Z149" s="13">
        <f t="shared" si="45"/>
        <v>0.14333409332523855</v>
      </c>
      <c r="AB149" s="72">
        <v>70</v>
      </c>
      <c r="AC149" s="72">
        <v>70</v>
      </c>
      <c r="AE149" s="5">
        <f t="shared" si="46"/>
        <v>441</v>
      </c>
      <c r="AG149" s="56"/>
      <c r="AK149" s="2">
        <v>900</v>
      </c>
      <c r="AL149" s="7">
        <f t="shared" si="39"/>
        <v>5.5799999999999995E-2</v>
      </c>
      <c r="AM149" s="8">
        <f t="shared" si="40"/>
        <v>0.16020000000000001</v>
      </c>
      <c r="AN149" s="56">
        <f t="shared" si="41"/>
        <v>7.9199999999999993E-2</v>
      </c>
      <c r="AO149" s="9">
        <f t="shared" si="42"/>
        <v>0.1628</v>
      </c>
      <c r="AX149" s="147"/>
      <c r="BO149">
        <f t="shared" si="47"/>
        <v>0.34759499999999999</v>
      </c>
      <c r="BP149">
        <f t="shared" si="43"/>
        <v>0.53498999999999997</v>
      </c>
      <c r="BQ149">
        <f t="shared" si="48"/>
        <v>0.41005999999999998</v>
      </c>
      <c r="BR149">
        <f t="shared" si="49"/>
        <v>0.28512999999999999</v>
      </c>
      <c r="BS149" s="8"/>
      <c r="BT149" s="90"/>
      <c r="BU149" s="8"/>
      <c r="BV149" s="90"/>
      <c r="BW149" s="4">
        <f t="shared" si="44"/>
        <v>441</v>
      </c>
    </row>
    <row r="150" spans="1:75" s="27" customFormat="1" thickTop="1" thickBot="1" x14ac:dyDescent="0.3">
      <c r="A150" s="21">
        <v>441</v>
      </c>
      <c r="B150" s="22">
        <v>45</v>
      </c>
      <c r="C150" s="22">
        <v>1</v>
      </c>
      <c r="D150" s="23"/>
      <c r="E150" s="24">
        <v>144</v>
      </c>
      <c r="F150" s="24">
        <v>-1</v>
      </c>
      <c r="G150" s="25">
        <f t="shared" si="50"/>
        <v>145</v>
      </c>
      <c r="H150" s="23"/>
      <c r="I150" s="22">
        <v>135</v>
      </c>
      <c r="J150" s="3">
        <f t="shared" si="52"/>
        <v>-27.737068965517238</v>
      </c>
      <c r="K150" s="26">
        <f t="shared" si="51"/>
        <v>126</v>
      </c>
      <c r="L150" s="23"/>
      <c r="N150" s="23"/>
      <c r="O150" s="28">
        <v>1.157</v>
      </c>
      <c r="P150" s="29">
        <v>8.6999999999999994E-2</v>
      </c>
      <c r="Q150" s="23"/>
      <c r="R150" s="30">
        <v>656</v>
      </c>
      <c r="S150" s="31">
        <v>48</v>
      </c>
      <c r="T150" s="32">
        <v>400</v>
      </c>
      <c r="U150" s="23"/>
      <c r="V150" s="33">
        <v>2993</v>
      </c>
      <c r="W150" s="75">
        <f t="shared" si="38"/>
        <v>14.259773115365615</v>
      </c>
      <c r="X150" s="5"/>
      <c r="Y150" s="55">
        <v>553</v>
      </c>
      <c r="Z150" s="13">
        <f t="shared" si="45"/>
        <v>0.14767639711211292</v>
      </c>
      <c r="AB150" s="27">
        <v>25</v>
      </c>
      <c r="AC150" s="27">
        <v>25</v>
      </c>
      <c r="AE150" s="5">
        <f t="shared" si="46"/>
        <v>441</v>
      </c>
      <c r="AF150" s="28"/>
      <c r="AG150" s="55"/>
      <c r="AH150" s="3"/>
      <c r="AJ150" s="5"/>
      <c r="AK150" s="2">
        <v>900</v>
      </c>
      <c r="AL150" s="7">
        <f t="shared" si="39"/>
        <v>0.59039999999999992</v>
      </c>
      <c r="AM150" s="8">
        <f t="shared" si="40"/>
        <v>0.5666000000000001</v>
      </c>
      <c r="AN150" s="56">
        <f t="shared" si="41"/>
        <v>4.3199999999999995E-2</v>
      </c>
      <c r="AO150" s="9">
        <f t="shared" si="42"/>
        <v>4.3799999999999999E-2</v>
      </c>
      <c r="AP150" s="5"/>
      <c r="AQ150" s="91"/>
      <c r="AR150" s="5"/>
      <c r="AS150" s="96"/>
      <c r="AT150" s="5"/>
      <c r="AU150" s="30"/>
      <c r="AV150" s="31"/>
      <c r="AW150" s="32"/>
      <c r="AX150" s="147"/>
      <c r="BN150" s="5"/>
      <c r="BO150">
        <f t="shared" si="47"/>
        <v>2.5493600000000001</v>
      </c>
      <c r="BP150">
        <f t="shared" si="43"/>
        <v>4.5321199999999999</v>
      </c>
      <c r="BQ150">
        <f t="shared" si="48"/>
        <v>3.21028</v>
      </c>
      <c r="BR150">
        <f t="shared" si="49"/>
        <v>1.8884400000000001</v>
      </c>
      <c r="BS150" s="28"/>
      <c r="BT150" s="91"/>
      <c r="BU150" s="28"/>
      <c r="BV150" s="91"/>
      <c r="BW150" s="4">
        <f t="shared" si="44"/>
        <v>441</v>
      </c>
    </row>
    <row r="151" spans="1:75" thickTop="1" thickBot="1" x14ac:dyDescent="0.3">
      <c r="A151" s="15">
        <v>442</v>
      </c>
      <c r="B151" s="16">
        <v>45</v>
      </c>
      <c r="C151" s="16">
        <v>2</v>
      </c>
      <c r="D151" s="17"/>
      <c r="E151" s="1">
        <v>143</v>
      </c>
      <c r="F151" s="1">
        <v>7</v>
      </c>
      <c r="G151" s="18">
        <f t="shared" si="50"/>
        <v>136</v>
      </c>
      <c r="H151" s="17"/>
      <c r="I151" s="19">
        <v>10</v>
      </c>
      <c r="J151" s="3">
        <f t="shared" si="52"/>
        <v>-22.913602941176464</v>
      </c>
      <c r="K151" s="20">
        <f t="shared" si="51"/>
        <v>138</v>
      </c>
      <c r="L151" s="17"/>
      <c r="N151" s="17"/>
      <c r="O151" s="8">
        <v>0.60799999999999998</v>
      </c>
      <c r="P151" s="9">
        <v>0.17499999999999999</v>
      </c>
      <c r="Q151" s="17"/>
      <c r="R151" s="10">
        <v>160</v>
      </c>
      <c r="S151" s="11">
        <v>55</v>
      </c>
      <c r="T151" s="12">
        <v>750</v>
      </c>
      <c r="U151" s="17"/>
      <c r="V151" s="7">
        <v>1823</v>
      </c>
      <c r="W151" s="13">
        <f t="shared" si="38"/>
        <v>14.334764159959787</v>
      </c>
      <c r="Y151" s="56">
        <v>1909</v>
      </c>
      <c r="Z151" s="13">
        <f t="shared" si="45"/>
        <v>0.14326142002754272</v>
      </c>
      <c r="AB151" s="72">
        <v>5</v>
      </c>
      <c r="AC151" s="72">
        <v>5</v>
      </c>
      <c r="AE151" s="5">
        <f t="shared" si="46"/>
        <v>442</v>
      </c>
      <c r="AF151" s="8">
        <f>(O151*AB151+O152*AB152+O153*AB153)/100</f>
        <v>0.33305000000000001</v>
      </c>
      <c r="AG151" s="56">
        <f>(P151*AC151+P152*AC152+P153*AC153)/100</f>
        <v>9.2349999999999988E-2</v>
      </c>
      <c r="AH151" s="3">
        <f>225-5.625*($B151-0.5)</f>
        <v>-25.3125</v>
      </c>
      <c r="AI151">
        <f>K151</f>
        <v>138</v>
      </c>
      <c r="AK151" s="2">
        <v>700</v>
      </c>
      <c r="AL151" s="7">
        <f t="shared" si="39"/>
        <v>0.11199999999999999</v>
      </c>
      <c r="AM151" s="8">
        <f t="shared" si="40"/>
        <v>0.496</v>
      </c>
      <c r="AN151" s="56">
        <f t="shared" si="41"/>
        <v>3.85E-2</v>
      </c>
      <c r="AO151" s="9">
        <f t="shared" si="42"/>
        <v>0.13649999999999998</v>
      </c>
      <c r="AQ151" s="90">
        <f>($AB151*AM151+$AB152*AM152+$AB153*AM153)/100</f>
        <v>0.27057500000000001</v>
      </c>
      <c r="AS151" s="95">
        <f>($AB151*AO151+$AB152*AO152+$AB153*AO153)/100</f>
        <v>4.0374999999999994E-2</v>
      </c>
      <c r="AU151" s="10">
        <f>($AB151*R151+$AB152*R152+$AB153*R153)/100</f>
        <v>99.25</v>
      </c>
      <c r="AV151" s="11">
        <f>($AB151*S151+$AB152*S152+$AB153*S153)/100</f>
        <v>83.75</v>
      </c>
      <c r="AW151" s="12">
        <f>($AB151*T151+$AB152*T152+$AB153*T153)/100</f>
        <v>1487.5</v>
      </c>
      <c r="AX151" s="147">
        <f>($AB151*AK151+$AB152*AK152+$AB153*AK153)/100</f>
        <v>630</v>
      </c>
      <c r="BO151">
        <f t="shared" si="47"/>
        <v>0.97960000000000003</v>
      </c>
      <c r="BP151">
        <f t="shared" si="43"/>
        <v>1.4632000000000001</v>
      </c>
      <c r="BQ151">
        <f t="shared" si="48"/>
        <v>1.1408</v>
      </c>
      <c r="BR151">
        <f t="shared" si="49"/>
        <v>0.81840000000000002</v>
      </c>
      <c r="BS151" s="8">
        <f>($AB151*BO151+$AB152*BO152+$AB153*BO153)/100</f>
        <v>0.57055812499999992</v>
      </c>
      <c r="BT151" s="90">
        <f>($AB151*BP151+$AB152*BP152+$AB153*BP153)/100</f>
        <v>0.87054125000000004</v>
      </c>
      <c r="BU151" s="8">
        <f>($AB151*BQ151+$AB152*BQ152+$AB153*BQ153)/100</f>
        <v>0.6705525</v>
      </c>
      <c r="BV151" s="90">
        <f>($AB151*BR151+$AB152*BR152+$AB153*BR153)/100</f>
        <v>0.47056375</v>
      </c>
      <c r="BW151" s="4">
        <f t="shared" si="44"/>
        <v>442</v>
      </c>
    </row>
    <row r="152" spans="1:75" thickTop="1" thickBot="1" x14ac:dyDescent="0.3">
      <c r="A152" s="4">
        <v>442</v>
      </c>
      <c r="B152" s="93">
        <v>45</v>
      </c>
      <c r="C152" s="93">
        <v>2</v>
      </c>
      <c r="E152" s="1">
        <v>143</v>
      </c>
      <c r="F152" s="1">
        <v>7</v>
      </c>
      <c r="G152" s="3">
        <f t="shared" si="50"/>
        <v>136</v>
      </c>
      <c r="I152" s="2">
        <v>68</v>
      </c>
      <c r="J152" s="3">
        <f t="shared" si="52"/>
        <v>-25.3125</v>
      </c>
      <c r="K152" s="6">
        <f t="shared" si="51"/>
        <v>138</v>
      </c>
      <c r="O152" s="8">
        <v>0.312</v>
      </c>
      <c r="P152" s="9">
        <v>8.7999999999999995E-2</v>
      </c>
      <c r="R152" s="10">
        <v>100</v>
      </c>
      <c r="S152" s="11">
        <v>95</v>
      </c>
      <c r="T152" s="12">
        <v>1500</v>
      </c>
      <c r="V152" s="7">
        <v>851</v>
      </c>
      <c r="W152" s="13">
        <f t="shared" si="38"/>
        <v>14.551662493203269</v>
      </c>
      <c r="Y152" s="56">
        <v>1037</v>
      </c>
      <c r="Z152" s="13">
        <f t="shared" si="45"/>
        <v>0.14479060796298643</v>
      </c>
      <c r="AB152" s="72">
        <v>70</v>
      </c>
      <c r="AC152" s="72">
        <v>70</v>
      </c>
      <c r="AE152" s="5">
        <f t="shared" si="46"/>
        <v>442</v>
      </c>
      <c r="AG152" s="56"/>
      <c r="AK152" s="2">
        <v>600</v>
      </c>
      <c r="AL152" s="7">
        <f t="shared" si="39"/>
        <v>0.06</v>
      </c>
      <c r="AM152" s="8">
        <f t="shared" si="40"/>
        <v>0.252</v>
      </c>
      <c r="AN152" s="56">
        <f t="shared" si="41"/>
        <v>5.6999999999999995E-2</v>
      </c>
      <c r="AO152" s="9">
        <f t="shared" si="42"/>
        <v>3.1E-2</v>
      </c>
      <c r="AX152" s="147"/>
      <c r="BO152">
        <f t="shared" si="47"/>
        <v>0.55425000000000002</v>
      </c>
      <c r="BP152">
        <f t="shared" si="43"/>
        <v>0.85650000000000004</v>
      </c>
      <c r="BQ152">
        <f t="shared" si="48"/>
        <v>0.65500000000000003</v>
      </c>
      <c r="BR152">
        <f t="shared" si="49"/>
        <v>0.45350000000000001</v>
      </c>
      <c r="BS152" s="8"/>
      <c r="BT152" s="90"/>
      <c r="BU152" s="8"/>
      <c r="BV152" s="90"/>
      <c r="BW152" s="4">
        <f t="shared" si="44"/>
        <v>442</v>
      </c>
    </row>
    <row r="153" spans="1:75" s="27" customFormat="1" thickTop="1" thickBot="1" x14ac:dyDescent="0.3">
      <c r="A153" s="21">
        <v>442</v>
      </c>
      <c r="B153" s="22">
        <v>45</v>
      </c>
      <c r="C153" s="22">
        <v>2</v>
      </c>
      <c r="D153" s="23"/>
      <c r="E153" s="24">
        <v>143</v>
      </c>
      <c r="F153" s="24">
        <v>7</v>
      </c>
      <c r="G153" s="25">
        <f t="shared" si="50"/>
        <v>136</v>
      </c>
      <c r="H153" s="23"/>
      <c r="I153" s="22">
        <v>126</v>
      </c>
      <c r="J153" s="3">
        <f t="shared" si="52"/>
        <v>-27.711397058823536</v>
      </c>
      <c r="K153" s="26">
        <f t="shared" si="51"/>
        <v>138</v>
      </c>
      <c r="L153" s="23"/>
      <c r="N153" s="23"/>
      <c r="O153" s="28">
        <v>0.33700000000000002</v>
      </c>
      <c r="P153" s="29">
        <v>8.7999999999999995E-2</v>
      </c>
      <c r="Q153" s="23"/>
      <c r="R153" s="30">
        <v>85</v>
      </c>
      <c r="S153" s="31">
        <v>58</v>
      </c>
      <c r="T153" s="32">
        <v>1600</v>
      </c>
      <c r="U153" s="23"/>
      <c r="V153" s="33">
        <v>908</v>
      </c>
      <c r="W153" s="75">
        <f t="shared" si="38"/>
        <v>14.526293947839239</v>
      </c>
      <c r="X153" s="5"/>
      <c r="Y153" s="55">
        <v>810</v>
      </c>
      <c r="Z153" s="13">
        <f t="shared" si="45"/>
        <v>0.14572085609560004</v>
      </c>
      <c r="AB153" s="27">
        <v>25</v>
      </c>
      <c r="AC153" s="27">
        <v>25</v>
      </c>
      <c r="AE153" s="5">
        <f t="shared" si="46"/>
        <v>442</v>
      </c>
      <c r="AF153" s="28"/>
      <c r="AG153" s="55"/>
      <c r="AH153" s="3"/>
      <c r="AJ153" s="5"/>
      <c r="AK153" s="2">
        <v>700</v>
      </c>
      <c r="AL153" s="7">
        <f t="shared" si="39"/>
        <v>5.9499999999999997E-2</v>
      </c>
      <c r="AM153" s="8">
        <f t="shared" si="40"/>
        <v>0.27750000000000002</v>
      </c>
      <c r="AN153" s="56">
        <f t="shared" si="41"/>
        <v>4.0599999999999997E-2</v>
      </c>
      <c r="AO153" s="9">
        <f t="shared" si="42"/>
        <v>4.7399999999999998E-2</v>
      </c>
      <c r="AP153" s="5"/>
      <c r="AQ153" s="91"/>
      <c r="AR153" s="5"/>
      <c r="AS153" s="96"/>
      <c r="AT153" s="5"/>
      <c r="AU153" s="30"/>
      <c r="AV153" s="31"/>
      <c r="AW153" s="32"/>
      <c r="AX153" s="147"/>
      <c r="BN153" s="5"/>
      <c r="BO153">
        <f t="shared" si="47"/>
        <v>0.53441249999999996</v>
      </c>
      <c r="BP153">
        <f t="shared" si="43"/>
        <v>0.79132500000000006</v>
      </c>
      <c r="BQ153">
        <f t="shared" si="48"/>
        <v>0.62004999999999999</v>
      </c>
      <c r="BR153">
        <f t="shared" si="49"/>
        <v>0.44877500000000003</v>
      </c>
      <c r="BS153" s="28"/>
      <c r="BT153" s="91"/>
      <c r="BU153" s="28"/>
      <c r="BV153" s="91"/>
      <c r="BW153" s="4">
        <f t="shared" si="44"/>
        <v>442</v>
      </c>
    </row>
    <row r="154" spans="1:75" thickTop="1" thickBot="1" x14ac:dyDescent="0.3">
      <c r="A154" s="15">
        <v>443</v>
      </c>
      <c r="B154" s="16">
        <v>45</v>
      </c>
      <c r="C154" s="16">
        <v>3</v>
      </c>
      <c r="D154" s="17"/>
      <c r="E154" s="1">
        <v>137</v>
      </c>
      <c r="F154" s="1">
        <v>8</v>
      </c>
      <c r="G154" s="18">
        <f t="shared" si="50"/>
        <v>129</v>
      </c>
      <c r="H154" s="17"/>
      <c r="I154" s="19">
        <v>10</v>
      </c>
      <c r="J154" s="3">
        <f t="shared" si="52"/>
        <v>-22.936046511627893</v>
      </c>
      <c r="K154" s="20">
        <f t="shared" si="51"/>
        <v>150</v>
      </c>
      <c r="L154" s="17"/>
      <c r="N154" s="17"/>
      <c r="O154" s="8">
        <v>0.14000000000000001</v>
      </c>
      <c r="P154" s="9">
        <v>5.1999999999999998E-2</v>
      </c>
      <c r="Q154" s="17"/>
      <c r="R154" s="10">
        <v>85</v>
      </c>
      <c r="S154" s="11">
        <v>77</v>
      </c>
      <c r="T154" s="12">
        <v>1600</v>
      </c>
      <c r="U154" s="17"/>
      <c r="V154" s="7">
        <v>408</v>
      </c>
      <c r="W154" s="13">
        <f t="shared" si="38"/>
        <v>14.983651221300123</v>
      </c>
      <c r="Y154" s="56">
        <v>0</v>
      </c>
      <c r="Z154" s="13" t="e">
        <f t="shared" si="45"/>
        <v>#DIV/0!</v>
      </c>
      <c r="AB154" s="72">
        <v>5</v>
      </c>
      <c r="AC154" s="72">
        <v>5</v>
      </c>
      <c r="AE154" s="5">
        <f t="shared" si="46"/>
        <v>443</v>
      </c>
      <c r="AF154" s="8">
        <f>(O154*AB154+O155*AB155+O156*AB156)/100</f>
        <v>0.23079999999999998</v>
      </c>
      <c r="AG154" s="56">
        <f>(P154*AC154+P155*AC155+P156*AC156)/100</f>
        <v>3.9699999999999999E-2</v>
      </c>
      <c r="AH154" s="3">
        <f>225-5.625*($B154-0.5)</f>
        <v>-25.3125</v>
      </c>
      <c r="AI154">
        <f>K154</f>
        <v>150</v>
      </c>
      <c r="AK154" s="2">
        <v>600</v>
      </c>
      <c r="AL154" s="7">
        <f t="shared" si="39"/>
        <v>5.0999999999999997E-2</v>
      </c>
      <c r="AM154" s="8">
        <f t="shared" si="40"/>
        <v>8.9000000000000024E-2</v>
      </c>
      <c r="AN154" s="56">
        <f t="shared" si="41"/>
        <v>4.6199999999999998E-2</v>
      </c>
      <c r="AO154" s="9">
        <f t="shared" si="42"/>
        <v>5.7999999999999996E-3</v>
      </c>
      <c r="AQ154" s="90">
        <f>($AB154*AM154+$AB155*AM155+$AB156*AM156)/100</f>
        <v>0.16580999999999999</v>
      </c>
      <c r="AS154" s="95">
        <f>($AB154*AO154+$AB155*AO155+$AB156*AO156)/100</f>
        <v>8.1650000000000021E-3</v>
      </c>
      <c r="AU154" s="10">
        <f>($AB154*R154+$AB155*R155+$AB156*R156)/100</f>
        <v>93.45</v>
      </c>
      <c r="AV154" s="11">
        <f>($AB154*S154+$AB155*S155+$AB156*S156)/100</f>
        <v>45.6</v>
      </c>
      <c r="AW154" s="12">
        <f>($AB154*T154+$AB155*T155+$AB156*T156)/100</f>
        <v>1270</v>
      </c>
      <c r="AX154" s="147">
        <f>($AB154*AK154+$AB155*AK155+$AB156*AK156)/100</f>
        <v>695</v>
      </c>
      <c r="BO154">
        <f t="shared" si="47"/>
        <v>0.34591250000000001</v>
      </c>
      <c r="BP154">
        <f t="shared" si="43"/>
        <v>0.60282499999999994</v>
      </c>
      <c r="BQ154">
        <f t="shared" si="48"/>
        <v>0.43154999999999999</v>
      </c>
      <c r="BR154">
        <f t="shared" si="49"/>
        <v>0.26027500000000003</v>
      </c>
      <c r="BS154" s="8">
        <f>($AB154*BO154+$AB155*BO155+$AB156*BO156)/100</f>
        <v>0.44826262500000008</v>
      </c>
      <c r="BT154" s="90">
        <f>($AB154*BP154+$AB155*BP155+$AB156*BP156)/100</f>
        <v>0.73071524999999993</v>
      </c>
      <c r="BU154" s="8">
        <f>($AB154*BQ154+$AB155*BQ155+$AB156*BQ156)/100</f>
        <v>0.54241349999999999</v>
      </c>
      <c r="BV154" s="90">
        <f>($AB154*BR154+$AB155*BR155+$AB156*BR156)/100</f>
        <v>0.35411175</v>
      </c>
      <c r="BW154" s="4">
        <f t="shared" si="44"/>
        <v>443</v>
      </c>
    </row>
    <row r="155" spans="1:75" thickTop="1" thickBot="1" x14ac:dyDescent="0.3">
      <c r="A155" s="4">
        <v>443</v>
      </c>
      <c r="B155" s="93">
        <v>45</v>
      </c>
      <c r="C155" s="93">
        <v>3</v>
      </c>
      <c r="E155" s="1">
        <v>137</v>
      </c>
      <c r="F155" s="1">
        <v>8</v>
      </c>
      <c r="G155" s="3">
        <f t="shared" si="50"/>
        <v>129</v>
      </c>
      <c r="I155" s="2">
        <v>65</v>
      </c>
      <c r="J155" s="3">
        <f t="shared" si="52"/>
        <v>-25.334302325581405</v>
      </c>
      <c r="K155" s="6">
        <f t="shared" si="51"/>
        <v>150</v>
      </c>
      <c r="O155" s="8">
        <v>0.23699999999999999</v>
      </c>
      <c r="P155" s="9">
        <v>0.04</v>
      </c>
      <c r="R155" s="10">
        <v>92</v>
      </c>
      <c r="S155" s="11">
        <v>46</v>
      </c>
      <c r="T155" s="12">
        <v>1300</v>
      </c>
      <c r="V155" s="7">
        <v>664</v>
      </c>
      <c r="W155" s="13">
        <f t="shared" si="38"/>
        <v>14.664932354561186</v>
      </c>
      <c r="Y155" s="56">
        <v>0</v>
      </c>
      <c r="Z155" s="13" t="e">
        <f t="shared" si="45"/>
        <v>#DIV/0!</v>
      </c>
      <c r="AB155" s="72">
        <v>80</v>
      </c>
      <c r="AC155" s="72">
        <v>80</v>
      </c>
      <c r="AE155" s="5">
        <f t="shared" si="46"/>
        <v>443</v>
      </c>
      <c r="AG155" s="56"/>
      <c r="AK155" s="2">
        <v>700</v>
      </c>
      <c r="AL155" s="7">
        <f t="shared" si="39"/>
        <v>6.4399999999999999E-2</v>
      </c>
      <c r="AM155" s="8">
        <f t="shared" si="40"/>
        <v>0.17259999999999998</v>
      </c>
      <c r="AN155" s="56">
        <f t="shared" si="41"/>
        <v>3.2199999999999999E-2</v>
      </c>
      <c r="AO155" s="9">
        <f t="shared" si="42"/>
        <v>7.8000000000000014E-3</v>
      </c>
      <c r="AX155" s="147"/>
      <c r="BO155">
        <f t="shared" si="47"/>
        <v>0.45067000000000002</v>
      </c>
      <c r="BP155">
        <f t="shared" si="43"/>
        <v>0.72873999999999994</v>
      </c>
      <c r="BQ155">
        <f t="shared" si="48"/>
        <v>0.54336000000000007</v>
      </c>
      <c r="BR155">
        <f t="shared" si="49"/>
        <v>0.35797999999999996</v>
      </c>
      <c r="BS155" s="8"/>
      <c r="BT155" s="90"/>
      <c r="BU155" s="8"/>
      <c r="BV155" s="90"/>
      <c r="BW155" s="4">
        <f t="shared" si="44"/>
        <v>443</v>
      </c>
    </row>
    <row r="156" spans="1:75" s="27" customFormat="1" thickTop="1" thickBot="1" x14ac:dyDescent="0.3">
      <c r="A156" s="21">
        <v>443</v>
      </c>
      <c r="B156" s="22">
        <v>45</v>
      </c>
      <c r="C156" s="22">
        <v>3</v>
      </c>
      <c r="D156" s="23"/>
      <c r="E156" s="24">
        <v>137</v>
      </c>
      <c r="F156" s="24">
        <v>8</v>
      </c>
      <c r="G156" s="25">
        <f t="shared" si="50"/>
        <v>129</v>
      </c>
      <c r="H156" s="23"/>
      <c r="I156" s="22">
        <v>119</v>
      </c>
      <c r="J156" s="3">
        <f t="shared" si="52"/>
        <v>-27.688953488372107</v>
      </c>
      <c r="K156" s="26">
        <f t="shared" si="51"/>
        <v>150</v>
      </c>
      <c r="L156" s="23"/>
      <c r="N156" s="23"/>
      <c r="O156" s="28">
        <v>0.22800000000000001</v>
      </c>
      <c r="P156" s="29">
        <v>3.4000000000000002E-2</v>
      </c>
      <c r="Q156" s="23"/>
      <c r="R156" s="30">
        <v>104</v>
      </c>
      <c r="S156" s="31">
        <v>33</v>
      </c>
      <c r="T156" s="32">
        <v>1000</v>
      </c>
      <c r="U156" s="23"/>
      <c r="V156" s="33">
        <v>638</v>
      </c>
      <c r="W156" s="75">
        <f t="shared" si="38"/>
        <v>14.685842883240397</v>
      </c>
      <c r="X156" s="5"/>
      <c r="Y156" s="55">
        <v>285</v>
      </c>
      <c r="Z156" s="13">
        <f t="shared" si="45"/>
        <v>0.15332570537853255</v>
      </c>
      <c r="AB156" s="27">
        <v>15</v>
      </c>
      <c r="AC156" s="27">
        <v>15</v>
      </c>
      <c r="AE156" s="5">
        <f t="shared" si="46"/>
        <v>443</v>
      </c>
      <c r="AF156" s="28"/>
      <c r="AG156" s="55"/>
      <c r="AH156" s="3"/>
      <c r="AJ156" s="5"/>
      <c r="AK156" s="2">
        <v>700</v>
      </c>
      <c r="AL156" s="7">
        <f t="shared" si="39"/>
        <v>7.2800000000000004E-2</v>
      </c>
      <c r="AM156" s="8">
        <f t="shared" si="40"/>
        <v>0.1552</v>
      </c>
      <c r="AN156" s="56">
        <f t="shared" si="41"/>
        <v>2.3099999999999999E-2</v>
      </c>
      <c r="AO156" s="9">
        <f t="shared" si="42"/>
        <v>1.0900000000000003E-2</v>
      </c>
      <c r="AP156" s="5"/>
      <c r="AQ156" s="91"/>
      <c r="AR156" s="5"/>
      <c r="AS156" s="96"/>
      <c r="AT156" s="5"/>
      <c r="AU156" s="30"/>
      <c r="AV156" s="31"/>
      <c r="AW156" s="32"/>
      <c r="AX156" s="147"/>
      <c r="BN156" s="5"/>
      <c r="BO156">
        <f t="shared" si="47"/>
        <v>0.46954000000000001</v>
      </c>
      <c r="BP156">
        <f t="shared" si="43"/>
        <v>0.78388000000000002</v>
      </c>
      <c r="BQ156">
        <f t="shared" si="48"/>
        <v>0.57432000000000005</v>
      </c>
      <c r="BR156">
        <f t="shared" si="49"/>
        <v>0.36475999999999997</v>
      </c>
      <c r="BS156" s="28"/>
      <c r="BT156" s="91"/>
      <c r="BU156" s="28"/>
      <c r="BV156" s="91"/>
      <c r="BW156" s="4">
        <f t="shared" si="44"/>
        <v>443</v>
      </c>
    </row>
    <row r="157" spans="1:75" thickTop="1" thickBot="1" x14ac:dyDescent="0.3">
      <c r="A157" s="15">
        <v>444</v>
      </c>
      <c r="B157" s="16">
        <v>45</v>
      </c>
      <c r="C157" s="16">
        <v>4</v>
      </c>
      <c r="D157" s="17"/>
      <c r="E157" s="1">
        <v>137</v>
      </c>
      <c r="F157" s="1">
        <v>14</v>
      </c>
      <c r="G157" s="18">
        <f t="shared" si="50"/>
        <v>123</v>
      </c>
      <c r="H157" s="17"/>
      <c r="I157" s="19">
        <v>10</v>
      </c>
      <c r="J157" s="3">
        <f t="shared" si="52"/>
        <v>-22.957317073170714</v>
      </c>
      <c r="K157" s="20">
        <f t="shared" si="51"/>
        <v>162</v>
      </c>
      <c r="L157" s="17"/>
      <c r="N157" s="17"/>
      <c r="O157" s="8">
        <v>0.123</v>
      </c>
      <c r="P157" s="9">
        <v>1.4E-2</v>
      </c>
      <c r="Q157" s="17"/>
      <c r="R157" s="10">
        <v>44</v>
      </c>
      <c r="S157" s="11">
        <v>20</v>
      </c>
      <c r="T157" s="12">
        <v>500</v>
      </c>
      <c r="U157" s="17"/>
      <c r="V157" s="7">
        <v>337</v>
      </c>
      <c r="W157" s="13">
        <f t="shared" si="38"/>
        <v>15.154985664937168</v>
      </c>
      <c r="Y157" s="56">
        <v>0</v>
      </c>
      <c r="Z157" s="13" t="e">
        <f t="shared" si="45"/>
        <v>#DIV/0!</v>
      </c>
      <c r="AB157" s="72">
        <v>10</v>
      </c>
      <c r="AC157" s="72">
        <v>10</v>
      </c>
      <c r="AE157" s="5">
        <f t="shared" si="46"/>
        <v>444</v>
      </c>
      <c r="AF157" s="8">
        <f>(O157*AB157+O158*AB158+O159*AB159)/100</f>
        <v>0.19435000000000002</v>
      </c>
      <c r="AG157" s="56">
        <f>(P157*AC157+P158*AC158+P159*AC159)/100</f>
        <v>3.4950000000000002E-2</v>
      </c>
      <c r="AH157" s="3">
        <f>225-5.625*($B157-0.5)</f>
        <v>-25.3125</v>
      </c>
      <c r="AI157">
        <f>K157</f>
        <v>162</v>
      </c>
      <c r="AK157" s="2">
        <v>700</v>
      </c>
      <c r="AL157" s="7">
        <f t="shared" si="39"/>
        <v>3.0799999999999998E-2</v>
      </c>
      <c r="AM157" s="8">
        <f t="shared" si="40"/>
        <v>9.2200000000000004E-2</v>
      </c>
      <c r="AN157" s="56">
        <f t="shared" si="41"/>
        <v>1.3999999999999999E-2</v>
      </c>
      <c r="AO157" s="9">
        <f t="shared" si="42"/>
        <v>0</v>
      </c>
      <c r="AQ157" s="90">
        <f>($AB157*AM157+$AB158*AM158+$AB159*AM159)/100</f>
        <v>0.12450500000000002</v>
      </c>
      <c r="AS157" s="95">
        <f>($AB157*AO157+$AB158*AO158+$AB159*AO159)/100</f>
        <v>1.1939999999999997E-2</v>
      </c>
      <c r="AU157" s="10">
        <f>($AB157*R157+$AB158*R158+$AB159*R159)/100</f>
        <v>115.2</v>
      </c>
      <c r="AV157" s="11">
        <f>($AB157*S157+$AB158*S158+$AB159*S159)/100</f>
        <v>37.85</v>
      </c>
      <c r="AW157" s="12">
        <f>($AB157*T157+$AB158*T158+$AB159*T159)/100</f>
        <v>1092.5</v>
      </c>
      <c r="AX157" s="147">
        <f>($AB157*AK157+$AB158*AK158+$AB159*AK159)/100</f>
        <v>615</v>
      </c>
      <c r="BO157">
        <f t="shared" si="47"/>
        <v>0.22519</v>
      </c>
      <c r="BP157">
        <f t="shared" si="43"/>
        <v>0.35818</v>
      </c>
      <c r="BQ157">
        <f t="shared" si="48"/>
        <v>0.26951999999999998</v>
      </c>
      <c r="BR157">
        <f t="shared" si="49"/>
        <v>0.18085999999999999</v>
      </c>
      <c r="BS157" s="8">
        <f>($AB157*BO157+$AB158*BO158+$AB159*BO159)/100</f>
        <v>0.47269699999999998</v>
      </c>
      <c r="BT157" s="90">
        <f>($AB157*BP157+$AB158*BP158+$AB159*BP159)/100</f>
        <v>0.82088899999999998</v>
      </c>
      <c r="BU157" s="8">
        <f>($AB157*BQ157+$AB158*BQ158+$AB159*BQ159)/100</f>
        <v>0.58876099999999998</v>
      </c>
      <c r="BV157" s="90">
        <f>($AB157*BR157+$AB158*BR158+$AB159*BR159)/100</f>
        <v>0.35663299999999998</v>
      </c>
      <c r="BW157" s="4">
        <f t="shared" si="44"/>
        <v>444</v>
      </c>
    </row>
    <row r="158" spans="1:75" thickTop="1" thickBot="1" x14ac:dyDescent="0.3">
      <c r="A158" s="4">
        <v>444</v>
      </c>
      <c r="B158" s="2">
        <v>45</v>
      </c>
      <c r="C158" s="2">
        <v>4</v>
      </c>
      <c r="E158" s="1">
        <v>137</v>
      </c>
      <c r="F158" s="1">
        <v>14</v>
      </c>
      <c r="G158" s="3">
        <f t="shared" si="50"/>
        <v>123</v>
      </c>
      <c r="I158" s="2">
        <v>62</v>
      </c>
      <c r="J158" s="3">
        <f t="shared" si="52"/>
        <v>-25.335365853658544</v>
      </c>
      <c r="K158" s="6">
        <f t="shared" si="51"/>
        <v>162</v>
      </c>
      <c r="O158" s="8">
        <v>0.20499999999999999</v>
      </c>
      <c r="P158" s="9">
        <v>3.7999999999999999E-2</v>
      </c>
      <c r="R158" s="10">
        <v>127</v>
      </c>
      <c r="S158" s="11">
        <v>41</v>
      </c>
      <c r="T158" s="12">
        <v>1200</v>
      </c>
      <c r="V158" s="7">
        <v>666</v>
      </c>
      <c r="W158" s="13">
        <f t="shared" si="38"/>
        <v>14.663390297438553</v>
      </c>
      <c r="Y158" s="56">
        <v>419</v>
      </c>
      <c r="Z158" s="13">
        <f t="shared" si="45"/>
        <v>0.14962163895930541</v>
      </c>
      <c r="AB158" s="72">
        <v>85</v>
      </c>
      <c r="AC158" s="72">
        <v>85</v>
      </c>
      <c r="AE158" s="5">
        <f t="shared" si="46"/>
        <v>444</v>
      </c>
      <c r="AG158" s="56"/>
      <c r="AK158" s="2">
        <v>600</v>
      </c>
      <c r="AL158" s="7">
        <f t="shared" si="39"/>
        <v>7.619999999999999E-2</v>
      </c>
      <c r="AM158" s="8">
        <f t="shared" si="40"/>
        <v>0.1288</v>
      </c>
      <c r="AN158" s="56">
        <f t="shared" si="41"/>
        <v>2.46E-2</v>
      </c>
      <c r="AO158" s="9">
        <f t="shared" si="42"/>
        <v>1.3399999999999999E-2</v>
      </c>
      <c r="AX158" s="147"/>
      <c r="BO158">
        <f t="shared" si="47"/>
        <v>0.51265749999999999</v>
      </c>
      <c r="BP158">
        <f t="shared" si="43"/>
        <v>0.89651499999999995</v>
      </c>
      <c r="BQ158">
        <f t="shared" si="48"/>
        <v>0.64061000000000001</v>
      </c>
      <c r="BR158">
        <f t="shared" si="49"/>
        <v>0.38470499999999996</v>
      </c>
      <c r="BS158" s="8"/>
      <c r="BT158" s="90"/>
      <c r="BU158" s="8"/>
      <c r="BV158" s="90"/>
      <c r="BW158" s="4">
        <f t="shared" si="44"/>
        <v>444</v>
      </c>
    </row>
    <row r="159" spans="1:75" s="27" customFormat="1" thickTop="1" thickBot="1" x14ac:dyDescent="0.3">
      <c r="A159" s="21">
        <v>444</v>
      </c>
      <c r="B159" s="22">
        <v>45</v>
      </c>
      <c r="C159" s="22">
        <v>4</v>
      </c>
      <c r="D159" s="23"/>
      <c r="E159" s="24">
        <v>137</v>
      </c>
      <c r="F159" s="24">
        <v>14</v>
      </c>
      <c r="G159" s="25">
        <f t="shared" si="50"/>
        <v>123</v>
      </c>
      <c r="H159" s="23"/>
      <c r="I159" s="22">
        <v>113</v>
      </c>
      <c r="J159" s="3">
        <f t="shared" si="52"/>
        <v>-27.667682926829286</v>
      </c>
      <c r="K159" s="26">
        <f t="shared" si="51"/>
        <v>162</v>
      </c>
      <c r="L159" s="23"/>
      <c r="N159" s="23"/>
      <c r="O159" s="28">
        <v>0.156</v>
      </c>
      <c r="P159" s="29">
        <v>2.5000000000000001E-2</v>
      </c>
      <c r="Q159" s="23"/>
      <c r="R159" s="30">
        <v>57</v>
      </c>
      <c r="S159" s="31">
        <v>20</v>
      </c>
      <c r="T159" s="32">
        <v>450</v>
      </c>
      <c r="U159" s="23"/>
      <c r="V159" s="33">
        <v>488</v>
      </c>
      <c r="W159" s="75">
        <f t="shared" si="38"/>
        <v>14.848966404389518</v>
      </c>
      <c r="X159" s="5"/>
      <c r="Y159" s="55">
        <v>242</v>
      </c>
      <c r="Z159" s="13">
        <f t="shared" si="45"/>
        <v>0.15534552264213694</v>
      </c>
      <c r="AB159" s="27">
        <v>5</v>
      </c>
      <c r="AC159" s="27">
        <v>5</v>
      </c>
      <c r="AE159" s="5">
        <f t="shared" si="46"/>
        <v>444</v>
      </c>
      <c r="AF159" s="28"/>
      <c r="AG159" s="55"/>
      <c r="AH159" s="3"/>
      <c r="AJ159" s="5"/>
      <c r="AK159" s="2">
        <v>700</v>
      </c>
      <c r="AL159" s="7">
        <f t="shared" si="39"/>
        <v>3.9899999999999998E-2</v>
      </c>
      <c r="AM159" s="8">
        <f t="shared" si="40"/>
        <v>0.11610000000000001</v>
      </c>
      <c r="AN159" s="56">
        <f t="shared" si="41"/>
        <v>1.3999999999999999E-2</v>
      </c>
      <c r="AO159" s="9">
        <f t="shared" si="42"/>
        <v>1.1000000000000003E-2</v>
      </c>
      <c r="AP159" s="5"/>
      <c r="AQ159" s="91"/>
      <c r="AR159" s="5"/>
      <c r="AS159" s="96"/>
      <c r="AT159" s="5"/>
      <c r="AU159" s="30"/>
      <c r="AV159" s="31"/>
      <c r="AW159" s="32"/>
      <c r="AX159" s="147"/>
      <c r="BN159" s="5"/>
      <c r="BO159">
        <f t="shared" si="47"/>
        <v>0.28838249999999999</v>
      </c>
      <c r="BP159">
        <f t="shared" si="43"/>
        <v>0.46066499999999999</v>
      </c>
      <c r="BQ159">
        <f t="shared" si="48"/>
        <v>0.34581000000000001</v>
      </c>
      <c r="BR159">
        <f t="shared" si="49"/>
        <v>0.23095499999999999</v>
      </c>
      <c r="BS159" s="28"/>
      <c r="BT159" s="91"/>
      <c r="BU159" s="28"/>
      <c r="BV159" s="91"/>
      <c r="BW159" s="4">
        <f t="shared" si="44"/>
        <v>444</v>
      </c>
    </row>
    <row r="160" spans="1:75" thickTop="1" thickBot="1" x14ac:dyDescent="0.3">
      <c r="A160" s="15">
        <v>445</v>
      </c>
      <c r="B160" s="16">
        <v>45</v>
      </c>
      <c r="C160" s="16">
        <v>5</v>
      </c>
      <c r="D160" s="17"/>
      <c r="E160" s="1">
        <v>135</v>
      </c>
      <c r="F160" s="1">
        <v>13</v>
      </c>
      <c r="G160" s="18">
        <f t="shared" si="50"/>
        <v>122</v>
      </c>
      <c r="H160" s="17"/>
      <c r="I160" s="19">
        <v>10</v>
      </c>
      <c r="J160" s="3">
        <f t="shared" si="52"/>
        <v>-22.961065573770469</v>
      </c>
      <c r="K160" s="20">
        <f t="shared" si="51"/>
        <v>174</v>
      </c>
      <c r="L160" s="17"/>
      <c r="N160" s="17"/>
      <c r="O160" s="8">
        <v>0.08</v>
      </c>
      <c r="P160" s="9">
        <v>1.9E-2</v>
      </c>
      <c r="Q160" s="17"/>
      <c r="R160" s="10">
        <v>39</v>
      </c>
      <c r="S160" s="11">
        <v>22</v>
      </c>
      <c r="T160" s="12">
        <v>500</v>
      </c>
      <c r="U160" s="17"/>
      <c r="V160" s="7">
        <v>328</v>
      </c>
      <c r="W160" s="13">
        <f t="shared" si="38"/>
        <v>15.181824820424216</v>
      </c>
      <c r="Y160" s="56">
        <v>0</v>
      </c>
      <c r="Z160" s="13" t="e">
        <f t="shared" si="45"/>
        <v>#DIV/0!</v>
      </c>
      <c r="AB160" s="72">
        <v>10</v>
      </c>
      <c r="AC160" s="72">
        <v>10</v>
      </c>
      <c r="AE160" s="5">
        <f t="shared" si="46"/>
        <v>445</v>
      </c>
      <c r="AF160" s="8">
        <f>(O160*AB160+O161*AB161+O162*AB162)/100</f>
        <v>0.17189999999999997</v>
      </c>
      <c r="AG160" s="56">
        <f>(P160*AC160+P161*AC161+P162*AC162)/100</f>
        <v>4.2150000000000007E-2</v>
      </c>
      <c r="AH160" s="3">
        <f>225-5.625*($B160-0.5)</f>
        <v>-25.3125</v>
      </c>
      <c r="AI160">
        <f>K160</f>
        <v>174</v>
      </c>
      <c r="AK160" s="2">
        <v>600</v>
      </c>
      <c r="AL160" s="7">
        <f t="shared" si="39"/>
        <v>2.3400000000000001E-2</v>
      </c>
      <c r="AM160" s="8">
        <f t="shared" si="40"/>
        <v>5.6599999999999998E-2</v>
      </c>
      <c r="AN160" s="56">
        <f t="shared" si="41"/>
        <v>1.32E-2</v>
      </c>
      <c r="AO160" s="9">
        <f t="shared" si="42"/>
        <v>5.7999999999999996E-3</v>
      </c>
      <c r="AQ160" s="90">
        <f>($AB160*AM160+$AB161*AM161+$AB162*AM162)/100</f>
        <v>9.4740000000000019E-2</v>
      </c>
      <c r="AS160" s="95">
        <f>($AB160*AO160+$AB161*AO161+$AB162*AO162)/100</f>
        <v>2.5800000000000033E-3</v>
      </c>
      <c r="AU160" s="10">
        <f>($AB160*R160+$AB161*R161+$AB162*R162)/100</f>
        <v>128.6</v>
      </c>
      <c r="AV160" s="11">
        <f>($AB160*S160+$AB161*S161+$AB162*S162)/100</f>
        <v>65.95</v>
      </c>
      <c r="AW160" s="12">
        <f>($AB160*T160+$AB161*T161+$AB162*T162)/100</f>
        <v>1775</v>
      </c>
      <c r="AX160" s="147">
        <f>($AB160*AK160+$AB161*AK161+$AB162*AK162)/100</f>
        <v>600</v>
      </c>
      <c r="BO160">
        <f t="shared" si="47"/>
        <v>0.17447750000000001</v>
      </c>
      <c r="BP160">
        <f t="shared" si="43"/>
        <v>0.29235499999999998</v>
      </c>
      <c r="BQ160">
        <f t="shared" si="48"/>
        <v>0.21377000000000002</v>
      </c>
      <c r="BR160">
        <f t="shared" si="49"/>
        <v>0.135185</v>
      </c>
      <c r="BS160" s="8">
        <f>($AB160*BO160+$AB161*BO161+$AB162*BO162)/100</f>
        <v>0.48343349999999996</v>
      </c>
      <c r="BT160" s="90">
        <f>($AB160*BP160+$AB161*BP161+$AB162*BP162)/100</f>
        <v>0.87212699999999999</v>
      </c>
      <c r="BU160" s="8">
        <f>($AB160*BQ160+$AB161*BQ161+$AB162*BQ162)/100</f>
        <v>0.61299799999999993</v>
      </c>
      <c r="BV160" s="90">
        <f>($AB160*BR160+$AB161*BR161+$AB162*BR162)/100</f>
        <v>0.35386899999999999</v>
      </c>
      <c r="BW160" s="4">
        <f t="shared" si="44"/>
        <v>445</v>
      </c>
    </row>
    <row r="161" spans="1:75" thickTop="1" thickBot="1" x14ac:dyDescent="0.3">
      <c r="A161" s="4">
        <v>445</v>
      </c>
      <c r="B161" s="2">
        <v>45</v>
      </c>
      <c r="C161" s="2">
        <v>5</v>
      </c>
      <c r="E161" s="1">
        <v>135</v>
      </c>
      <c r="F161" s="1">
        <v>13</v>
      </c>
      <c r="G161" s="3">
        <f t="shared" si="50"/>
        <v>122</v>
      </c>
      <c r="I161" s="2">
        <v>61</v>
      </c>
      <c r="J161" s="3">
        <f t="shared" si="52"/>
        <v>-25.3125</v>
      </c>
      <c r="K161" s="6">
        <f t="shared" si="51"/>
        <v>174</v>
      </c>
      <c r="O161" s="8">
        <v>0.185</v>
      </c>
      <c r="P161" s="9">
        <v>4.5999999999999999E-2</v>
      </c>
      <c r="R161" s="10">
        <v>143</v>
      </c>
      <c r="S161" s="11">
        <v>74</v>
      </c>
      <c r="T161" s="12">
        <v>2000</v>
      </c>
      <c r="V161" s="7">
        <v>824</v>
      </c>
      <c r="W161" s="13">
        <f t="shared" si="38"/>
        <v>14.564886622631057</v>
      </c>
      <c r="Y161" s="56">
        <v>0</v>
      </c>
      <c r="Z161" s="13" t="e">
        <f t="shared" si="45"/>
        <v>#DIV/0!</v>
      </c>
      <c r="AB161" s="72">
        <v>85</v>
      </c>
      <c r="AC161" s="72">
        <v>85</v>
      </c>
      <c r="AE161" s="5">
        <f t="shared" si="46"/>
        <v>445</v>
      </c>
      <c r="AG161" s="56"/>
      <c r="AK161" s="2">
        <v>600</v>
      </c>
      <c r="AL161" s="7">
        <f t="shared" si="39"/>
        <v>8.5800000000000001E-2</v>
      </c>
      <c r="AM161" s="8">
        <f t="shared" si="40"/>
        <v>9.9199999999999997E-2</v>
      </c>
      <c r="AN161" s="56">
        <f t="shared" si="41"/>
        <v>4.4399999999999995E-2</v>
      </c>
      <c r="AO161" s="9">
        <f t="shared" si="42"/>
        <v>1.6000000000000042E-3</v>
      </c>
      <c r="AX161" s="147"/>
      <c r="BO161">
        <f t="shared" si="47"/>
        <v>0.53141749999999999</v>
      </c>
      <c r="BP161">
        <f t="shared" si="43"/>
        <v>0.96363500000000002</v>
      </c>
      <c r="BQ161">
        <f t="shared" si="48"/>
        <v>0.67548999999999992</v>
      </c>
      <c r="BR161">
        <f t="shared" si="49"/>
        <v>0.38734499999999999</v>
      </c>
      <c r="BS161" s="8"/>
      <c r="BT161" s="90"/>
      <c r="BU161" s="8"/>
      <c r="BV161" s="90"/>
      <c r="BW161" s="4">
        <f t="shared" si="44"/>
        <v>445</v>
      </c>
    </row>
    <row r="162" spans="1:75" s="27" customFormat="1" thickTop="1" thickBot="1" x14ac:dyDescent="0.3">
      <c r="A162" s="21">
        <v>445</v>
      </c>
      <c r="B162" s="22">
        <v>45</v>
      </c>
      <c r="C162" s="22">
        <v>5</v>
      </c>
      <c r="D162" s="23"/>
      <c r="E162" s="24">
        <v>135</v>
      </c>
      <c r="F162" s="24">
        <v>13</v>
      </c>
      <c r="G162" s="25">
        <f t="shared" si="50"/>
        <v>122</v>
      </c>
      <c r="H162" s="23"/>
      <c r="I162" s="22">
        <v>112</v>
      </c>
      <c r="J162" s="3">
        <f t="shared" si="52"/>
        <v>-27.663934426229531</v>
      </c>
      <c r="K162" s="26">
        <f t="shared" si="51"/>
        <v>174</v>
      </c>
      <c r="L162" s="23"/>
      <c r="N162" s="23"/>
      <c r="O162" s="28">
        <v>0.13300000000000001</v>
      </c>
      <c r="P162" s="29">
        <v>2.3E-2</v>
      </c>
      <c r="Q162" s="23"/>
      <c r="R162" s="30">
        <v>63</v>
      </c>
      <c r="S162" s="31">
        <v>17</v>
      </c>
      <c r="T162" s="32">
        <v>500</v>
      </c>
      <c r="U162" s="23"/>
      <c r="V162" s="33">
        <v>523</v>
      </c>
      <c r="W162" s="75">
        <f t="shared" si="38"/>
        <v>14.80271795620701</v>
      </c>
      <c r="X162" s="5"/>
      <c r="Y162" s="55">
        <v>271</v>
      </c>
      <c r="Z162" s="13">
        <f t="shared" si="45"/>
        <v>0.15391568113863188</v>
      </c>
      <c r="AB162" s="27">
        <v>5</v>
      </c>
      <c r="AC162" s="27">
        <v>5</v>
      </c>
      <c r="AE162" s="5">
        <f t="shared" si="46"/>
        <v>445</v>
      </c>
      <c r="AF162" s="28"/>
      <c r="AG162" s="55"/>
      <c r="AH162" s="3"/>
      <c r="AJ162" s="5"/>
      <c r="AK162" s="2">
        <v>600</v>
      </c>
      <c r="AL162" s="7">
        <f t="shared" si="39"/>
        <v>3.78E-2</v>
      </c>
      <c r="AM162" s="8">
        <f t="shared" si="40"/>
        <v>9.5200000000000007E-2</v>
      </c>
      <c r="AN162" s="56">
        <f t="shared" si="41"/>
        <v>1.0199999999999999E-2</v>
      </c>
      <c r="AO162" s="9">
        <f t="shared" si="42"/>
        <v>1.2800000000000001E-2</v>
      </c>
      <c r="AP162" s="5"/>
      <c r="AQ162" s="91"/>
      <c r="AR162" s="5"/>
      <c r="AS162" s="96"/>
      <c r="AT162" s="5"/>
      <c r="AU162" s="30"/>
      <c r="AV162" s="31"/>
      <c r="AW162" s="32"/>
      <c r="AX162" s="147"/>
      <c r="BN162" s="5"/>
      <c r="BO162">
        <f t="shared" si="47"/>
        <v>0.28561749999999997</v>
      </c>
      <c r="BP162">
        <f t="shared" si="43"/>
        <v>0.47603499999999999</v>
      </c>
      <c r="BQ162">
        <f t="shared" si="48"/>
        <v>0.34909000000000001</v>
      </c>
      <c r="BR162">
        <f t="shared" si="49"/>
        <v>0.22214500000000001</v>
      </c>
      <c r="BS162" s="28"/>
      <c r="BT162" s="91"/>
      <c r="BU162" s="28"/>
      <c r="BV162" s="91"/>
      <c r="BW162" s="4">
        <f t="shared" si="44"/>
        <v>445</v>
      </c>
    </row>
    <row r="163" spans="1:75" thickTop="1" thickBot="1" x14ac:dyDescent="0.3">
      <c r="A163" s="15">
        <v>446</v>
      </c>
      <c r="B163" s="16">
        <v>45</v>
      </c>
      <c r="C163" s="16">
        <v>6</v>
      </c>
      <c r="D163" s="17"/>
      <c r="E163" s="1">
        <v>134</v>
      </c>
      <c r="F163" s="1">
        <v>11</v>
      </c>
      <c r="G163" s="18">
        <f t="shared" si="50"/>
        <v>123</v>
      </c>
      <c r="H163" s="17"/>
      <c r="I163" s="19">
        <v>10</v>
      </c>
      <c r="J163" s="3">
        <f t="shared" si="52"/>
        <v>-22.957317073170714</v>
      </c>
      <c r="K163" s="20">
        <f t="shared" si="51"/>
        <v>186</v>
      </c>
      <c r="L163" s="17"/>
      <c r="N163" s="17"/>
      <c r="O163" s="8">
        <v>0.11</v>
      </c>
      <c r="P163" s="9">
        <v>2.5000000000000001E-2</v>
      </c>
      <c r="Q163" s="17"/>
      <c r="R163" s="10">
        <v>94</v>
      </c>
      <c r="S163" s="11">
        <v>29</v>
      </c>
      <c r="T163" s="12">
        <v>1600</v>
      </c>
      <c r="U163" s="17"/>
      <c r="V163" s="7">
        <v>564</v>
      </c>
      <c r="W163" s="13">
        <f t="shared" si="38"/>
        <v>14.755693696126276</v>
      </c>
      <c r="Y163" s="56">
        <v>416</v>
      </c>
      <c r="Z163" s="13">
        <f t="shared" si="45"/>
        <v>0.14967914401761576</v>
      </c>
      <c r="AB163" s="72">
        <v>10</v>
      </c>
      <c r="AC163" s="72">
        <v>10</v>
      </c>
      <c r="AE163" s="5">
        <f t="shared" si="46"/>
        <v>446</v>
      </c>
      <c r="AF163" s="8">
        <f>(O163*AB163+O164*AB164+O165*AB165)/100</f>
        <v>0.31209999999999999</v>
      </c>
      <c r="AG163" s="56">
        <f>(P163*AC163+P164*AC164+P165*AC165)/100</f>
        <v>3.8999999999999993E-2</v>
      </c>
      <c r="AH163" s="3">
        <f>225-5.625*($B163-0.5)</f>
        <v>-25.3125</v>
      </c>
      <c r="AI163">
        <f>K163</f>
        <v>186</v>
      </c>
      <c r="AK163" s="2">
        <v>600</v>
      </c>
      <c r="AL163" s="7">
        <f t="shared" si="39"/>
        <v>5.6399999999999999E-2</v>
      </c>
      <c r="AM163" s="8">
        <f t="shared" si="40"/>
        <v>5.3600000000000002E-2</v>
      </c>
      <c r="AN163" s="56">
        <f t="shared" si="41"/>
        <v>1.7399999999999999E-2</v>
      </c>
      <c r="AO163" s="9">
        <f t="shared" si="42"/>
        <v>7.6000000000000026E-3</v>
      </c>
      <c r="AQ163" s="90">
        <f>($AB163*AM163+$AB164*AM164+$AB165*AM165)/100</f>
        <v>0.22561</v>
      </c>
      <c r="AS163" s="95">
        <f>($AB163*AO163+$AB164*AO164+$AB165*AO165)/100</f>
        <v>1.9969999999999998E-2</v>
      </c>
      <c r="AU163" s="10">
        <f>($AB163*R163+$AB164*R164+$AB165*R165)/100</f>
        <v>124.9</v>
      </c>
      <c r="AV163" s="11">
        <f>($AB163*S163+$AB164*S164+$AB165*S165)/100</f>
        <v>27.6</v>
      </c>
      <c r="AW163" s="12">
        <f>($AB163*T163+$AB164*T164+$AB165*T165)/100</f>
        <v>1010</v>
      </c>
      <c r="AX163" s="147">
        <f>($AB163*AK163+$AB164*AK164+$AB165*AK165)/100</f>
        <v>690</v>
      </c>
      <c r="BO163">
        <f t="shared" si="47"/>
        <v>0.33771499999999999</v>
      </c>
      <c r="BP163">
        <f t="shared" si="43"/>
        <v>0.62182999999999999</v>
      </c>
      <c r="BQ163">
        <f t="shared" si="48"/>
        <v>0.43241999999999997</v>
      </c>
      <c r="BR163">
        <f t="shared" si="49"/>
        <v>0.24301</v>
      </c>
      <c r="BS163" s="8">
        <f>($AB163*BO163+$AB164*BO164+$AB165*BO165)/100</f>
        <v>0.60312025000000002</v>
      </c>
      <c r="BT163" s="90">
        <f>($AB163*BP163+$AB164*BP164+$AB165*BP165)/100</f>
        <v>0.98063050000000007</v>
      </c>
      <c r="BU163" s="8">
        <f>($AB163*BQ163+$AB164*BQ164+$AB165*BQ165)/100</f>
        <v>0.72895700000000008</v>
      </c>
      <c r="BV163" s="90">
        <f>($AB163*BR163+$AB164*BR164+$AB165*BR165)/100</f>
        <v>0.47728349999999997</v>
      </c>
      <c r="BW163" s="4">
        <f t="shared" si="44"/>
        <v>446</v>
      </c>
    </row>
    <row r="164" spans="1:75" thickTop="1" thickBot="1" x14ac:dyDescent="0.3">
      <c r="A164" s="4">
        <v>446</v>
      </c>
      <c r="B164" s="2">
        <v>45</v>
      </c>
      <c r="C164" s="2">
        <v>6</v>
      </c>
      <c r="E164" s="1">
        <v>134</v>
      </c>
      <c r="F164" s="1">
        <v>11</v>
      </c>
      <c r="G164" s="3">
        <f t="shared" si="50"/>
        <v>123</v>
      </c>
      <c r="I164" s="2">
        <v>62</v>
      </c>
      <c r="J164" s="3">
        <f t="shared" si="52"/>
        <v>-25.335365853658544</v>
      </c>
      <c r="K164" s="6">
        <f t="shared" si="51"/>
        <v>186</v>
      </c>
      <c r="O164" s="8">
        <v>0.35899999999999999</v>
      </c>
      <c r="P164" s="9">
        <v>4.3999999999999997E-2</v>
      </c>
      <c r="R164" s="10">
        <v>139</v>
      </c>
      <c r="S164" s="11">
        <v>29</v>
      </c>
      <c r="T164" s="12">
        <v>1000</v>
      </c>
      <c r="V164" s="7">
        <v>1518</v>
      </c>
      <c r="W164" s="13">
        <f t="shared" si="38"/>
        <v>14.373156065501671</v>
      </c>
      <c r="Y164" s="56">
        <v>534</v>
      </c>
      <c r="Z164" s="13">
        <f t="shared" si="45"/>
        <v>0.14789408093642548</v>
      </c>
      <c r="AB164" s="72">
        <v>80</v>
      </c>
      <c r="AC164" s="72">
        <v>80</v>
      </c>
      <c r="AE164" s="5">
        <f t="shared" si="46"/>
        <v>446</v>
      </c>
      <c r="AG164" s="56"/>
      <c r="AK164" s="2">
        <v>700</v>
      </c>
      <c r="AL164" s="7">
        <f t="shared" si="39"/>
        <v>9.7299999999999998E-2</v>
      </c>
      <c r="AM164" s="8">
        <f t="shared" si="40"/>
        <v>0.26169999999999999</v>
      </c>
      <c r="AN164" s="56">
        <f t="shared" si="41"/>
        <v>2.0299999999999999E-2</v>
      </c>
      <c r="AO164" s="9">
        <f t="shared" si="42"/>
        <v>2.3699999999999999E-2</v>
      </c>
      <c r="AX164" s="147"/>
      <c r="BO164">
        <f t="shared" si="47"/>
        <v>0.68182750000000003</v>
      </c>
      <c r="BP164">
        <f t="shared" si="43"/>
        <v>1.101955</v>
      </c>
      <c r="BQ164">
        <f t="shared" si="48"/>
        <v>0.82186999999999999</v>
      </c>
      <c r="BR164">
        <f t="shared" si="49"/>
        <v>0.54178499999999996</v>
      </c>
      <c r="BS164" s="8"/>
      <c r="BT164" s="90"/>
      <c r="BU164" s="8"/>
      <c r="BV164" s="90"/>
      <c r="BW164" s="4">
        <f t="shared" si="44"/>
        <v>446</v>
      </c>
    </row>
    <row r="165" spans="1:75" s="27" customFormat="1" thickTop="1" thickBot="1" x14ac:dyDescent="0.3">
      <c r="A165" s="21">
        <v>446</v>
      </c>
      <c r="B165" s="22">
        <v>45</v>
      </c>
      <c r="C165" s="22">
        <v>6</v>
      </c>
      <c r="D165" s="23"/>
      <c r="E165" s="24">
        <v>134</v>
      </c>
      <c r="F165" s="24">
        <v>11</v>
      </c>
      <c r="G165" s="25">
        <f t="shared" si="50"/>
        <v>123</v>
      </c>
      <c r="H165" s="23"/>
      <c r="I165" s="22">
        <v>113</v>
      </c>
      <c r="J165" s="3">
        <f t="shared" si="52"/>
        <v>-27.667682926829286</v>
      </c>
      <c r="K165" s="26">
        <f t="shared" si="51"/>
        <v>186</v>
      </c>
      <c r="L165" s="23"/>
      <c r="N165" s="23"/>
      <c r="O165" s="28">
        <v>0.13900000000000001</v>
      </c>
      <c r="P165" s="29">
        <v>1.2999999999999999E-2</v>
      </c>
      <c r="Q165" s="23"/>
      <c r="R165" s="30">
        <v>43</v>
      </c>
      <c r="S165" s="31">
        <v>15</v>
      </c>
      <c r="T165" s="32">
        <v>500</v>
      </c>
      <c r="U165" s="23"/>
      <c r="V165" s="33">
        <v>526</v>
      </c>
      <c r="W165" s="75">
        <f t="shared" si="38"/>
        <v>14.799033983476978</v>
      </c>
      <c r="X165" s="5"/>
      <c r="Y165" s="55">
        <v>0</v>
      </c>
      <c r="Z165" s="13" t="e">
        <f t="shared" si="45"/>
        <v>#DIV/0!</v>
      </c>
      <c r="AB165" s="27">
        <v>10</v>
      </c>
      <c r="AC165" s="27">
        <v>10</v>
      </c>
      <c r="AE165" s="5">
        <f t="shared" si="46"/>
        <v>446</v>
      </c>
      <c r="AF165" s="28"/>
      <c r="AG165" s="55"/>
      <c r="AH165" s="3"/>
      <c r="AJ165" s="5"/>
      <c r="AK165" s="2">
        <v>700</v>
      </c>
      <c r="AL165" s="7">
        <f t="shared" si="39"/>
        <v>3.0099999999999998E-2</v>
      </c>
      <c r="AM165" s="8">
        <f t="shared" si="40"/>
        <v>0.10890000000000001</v>
      </c>
      <c r="AN165" s="56">
        <f t="shared" si="41"/>
        <v>1.0499999999999999E-2</v>
      </c>
      <c r="AO165" s="9">
        <f t="shared" si="42"/>
        <v>2.5000000000000005E-3</v>
      </c>
      <c r="AP165" s="5"/>
      <c r="AQ165" s="91"/>
      <c r="AR165" s="5"/>
      <c r="AS165" s="96"/>
      <c r="AT165" s="5"/>
      <c r="AU165" s="30"/>
      <c r="AV165" s="31"/>
      <c r="AW165" s="32"/>
      <c r="AX165" s="147"/>
      <c r="BN165" s="5"/>
      <c r="BO165">
        <f t="shared" si="47"/>
        <v>0.23886750000000001</v>
      </c>
      <c r="BP165">
        <f t="shared" si="43"/>
        <v>0.36883500000000002</v>
      </c>
      <c r="BQ165">
        <f t="shared" si="48"/>
        <v>0.28219000000000005</v>
      </c>
      <c r="BR165">
        <f t="shared" si="49"/>
        <v>0.19554500000000002</v>
      </c>
      <c r="BS165" s="28"/>
      <c r="BT165" s="91"/>
      <c r="BU165" s="28"/>
      <c r="BV165" s="91"/>
      <c r="BW165" s="4">
        <f t="shared" si="44"/>
        <v>446</v>
      </c>
    </row>
    <row r="166" spans="1:75" thickTop="1" thickBot="1" x14ac:dyDescent="0.3">
      <c r="A166" s="15">
        <v>447</v>
      </c>
      <c r="B166" s="16">
        <v>45</v>
      </c>
      <c r="C166" s="16">
        <v>7</v>
      </c>
      <c r="D166" s="17"/>
      <c r="E166" s="1">
        <v>138</v>
      </c>
      <c r="F166" s="1">
        <v>8</v>
      </c>
      <c r="G166" s="18">
        <f t="shared" si="50"/>
        <v>130</v>
      </c>
      <c r="H166" s="17"/>
      <c r="I166" s="19">
        <v>10</v>
      </c>
      <c r="J166" s="3">
        <f t="shared" si="52"/>
        <v>-22.932692307692321</v>
      </c>
      <c r="K166" s="20">
        <f t="shared" si="51"/>
        <v>198</v>
      </c>
      <c r="L166" s="17"/>
      <c r="N166" s="17"/>
      <c r="O166" s="8">
        <v>0.18</v>
      </c>
      <c r="P166" s="9">
        <v>2.3E-2</v>
      </c>
      <c r="Q166" s="17"/>
      <c r="R166" s="10">
        <v>120</v>
      </c>
      <c r="S166" s="11">
        <v>15</v>
      </c>
      <c r="T166" s="12">
        <v>900</v>
      </c>
      <c r="U166" s="17"/>
      <c r="V166" s="7">
        <v>632</v>
      </c>
      <c r="W166" s="13">
        <f t="shared" si="38"/>
        <v>14.690908236393236</v>
      </c>
      <c r="Y166" s="56">
        <v>258</v>
      </c>
      <c r="Z166" s="13">
        <f t="shared" si="45"/>
        <v>0.15451850695708932</v>
      </c>
      <c r="AB166" s="72">
        <v>10</v>
      </c>
      <c r="AC166" s="72">
        <v>10</v>
      </c>
      <c r="AE166" s="5">
        <f t="shared" si="46"/>
        <v>447</v>
      </c>
      <c r="AF166" s="8">
        <f>(O166*AB166+O167*AB167+O168*AB168)/100</f>
        <v>0.28149999999999997</v>
      </c>
      <c r="AG166" s="56">
        <f>(P166*AC166+P167*AC167+P168*AC168)/100</f>
        <v>3.7899999999999996E-2</v>
      </c>
      <c r="AH166" s="3">
        <f>225-5.625*($B166-0.5)</f>
        <v>-25.3125</v>
      </c>
      <c r="AI166">
        <f>K166</f>
        <v>198</v>
      </c>
      <c r="AK166" s="2">
        <v>700</v>
      </c>
      <c r="AL166" s="7">
        <f t="shared" si="39"/>
        <v>8.3999999999999991E-2</v>
      </c>
      <c r="AM166" s="8">
        <f t="shared" si="40"/>
        <v>9.6000000000000002E-2</v>
      </c>
      <c r="AN166" s="56">
        <f t="shared" si="41"/>
        <v>1.0499999999999999E-2</v>
      </c>
      <c r="AO166" s="9">
        <f t="shared" si="42"/>
        <v>1.2500000000000001E-2</v>
      </c>
      <c r="AQ166" s="90">
        <f>($AB166*AM166+$AB167*AM167+$AB168*AM168)/100</f>
        <v>0.17096</v>
      </c>
      <c r="AS166" s="95">
        <f>($AB166*AO166+$AB167*AO167+$AB168*AO168)/100</f>
        <v>2.4029999999999999E-2</v>
      </c>
      <c r="AU166" s="10">
        <f>($AB166*R166+$AB167*R167+$AB168*R168)/100</f>
        <v>159</v>
      </c>
      <c r="AV166" s="11">
        <f>($AB166*S166+$AB167*S167+$AB168*S168)/100</f>
        <v>20.100000000000001</v>
      </c>
      <c r="AW166" s="12">
        <f>($AB166*T166+$AB167*T167+$AB168*T168)/100</f>
        <v>763</v>
      </c>
      <c r="AX166" s="147">
        <f>($AB166*AK166+$AB167*AK167+$AB168*AK168)/100</f>
        <v>680</v>
      </c>
      <c r="BO166">
        <f t="shared" si="47"/>
        <v>0.4587</v>
      </c>
      <c r="BP166">
        <f t="shared" si="43"/>
        <v>0.82139999999999991</v>
      </c>
      <c r="BQ166">
        <f t="shared" si="48"/>
        <v>0.5796</v>
      </c>
      <c r="BR166">
        <f t="shared" si="49"/>
        <v>0.33779999999999999</v>
      </c>
      <c r="BS166" s="8">
        <f>($AB166*BO166+$AB167*BO167+$AB168*BO168)/100</f>
        <v>0.65153749999999999</v>
      </c>
      <c r="BT166" s="90">
        <f>($AB166*BP166+$AB167*BP167+$AB168*BP168)/100</f>
        <v>1.132115</v>
      </c>
      <c r="BU166" s="8">
        <f>($AB166*BQ166+$AB167*BQ167+$AB168*BQ168)/100</f>
        <v>0.81173000000000017</v>
      </c>
      <c r="BV166" s="90">
        <f>($AB166*BR166+$AB167*BR167+$AB168*BR168)/100</f>
        <v>0.49134500000000003</v>
      </c>
      <c r="BW166" s="4">
        <f t="shared" si="44"/>
        <v>447</v>
      </c>
    </row>
    <row r="167" spans="1:75" thickTop="1" thickBot="1" x14ac:dyDescent="0.3">
      <c r="A167" s="4">
        <v>447</v>
      </c>
      <c r="B167" s="2">
        <v>45</v>
      </c>
      <c r="C167" s="2">
        <v>7</v>
      </c>
      <c r="E167" s="1">
        <v>138</v>
      </c>
      <c r="F167" s="1">
        <v>8</v>
      </c>
      <c r="G167" s="3">
        <f t="shared" si="50"/>
        <v>130</v>
      </c>
      <c r="I167" s="2">
        <v>63</v>
      </c>
      <c r="J167" s="3">
        <f t="shared" si="52"/>
        <v>-25.225961538461519</v>
      </c>
      <c r="K167" s="6">
        <f t="shared" si="51"/>
        <v>198</v>
      </c>
      <c r="O167" s="8">
        <v>0.31900000000000001</v>
      </c>
      <c r="P167" s="9">
        <v>4.2999999999999997E-2</v>
      </c>
      <c r="R167" s="10">
        <v>179</v>
      </c>
      <c r="S167" s="11">
        <v>22</v>
      </c>
      <c r="T167" s="12">
        <v>800</v>
      </c>
      <c r="V167" s="7">
        <v>1162</v>
      </c>
      <c r="W167" s="13">
        <f t="shared" si="38"/>
        <v>14.443193967379445</v>
      </c>
      <c r="Y167" s="56">
        <v>426</v>
      </c>
      <c r="Z167" s="13">
        <f t="shared" si="45"/>
        <v>0.14949052759414422</v>
      </c>
      <c r="AB167" s="72">
        <v>80</v>
      </c>
      <c r="AC167" s="72">
        <v>80</v>
      </c>
      <c r="AE167" s="5">
        <f t="shared" si="46"/>
        <v>447</v>
      </c>
      <c r="AG167" s="56"/>
      <c r="AK167" s="2">
        <v>700</v>
      </c>
      <c r="AL167" s="7">
        <f t="shared" si="39"/>
        <v>0.12529999999999999</v>
      </c>
      <c r="AM167" s="8">
        <f t="shared" si="40"/>
        <v>0.19370000000000001</v>
      </c>
      <c r="AN167" s="56">
        <f t="shared" si="41"/>
        <v>1.5399999999999999E-2</v>
      </c>
      <c r="AO167" s="9">
        <f t="shared" si="42"/>
        <v>2.76E-2</v>
      </c>
      <c r="AX167" s="147"/>
      <c r="BO167">
        <f t="shared" si="47"/>
        <v>0.73472749999999998</v>
      </c>
      <c r="BP167">
        <f t="shared" si="43"/>
        <v>1.275755</v>
      </c>
      <c r="BQ167">
        <f t="shared" si="48"/>
        <v>0.91507000000000005</v>
      </c>
      <c r="BR167">
        <f t="shared" si="49"/>
        <v>0.55438500000000002</v>
      </c>
      <c r="BS167" s="8"/>
      <c r="BT167" s="90"/>
      <c r="BU167" s="8"/>
      <c r="BV167" s="90"/>
      <c r="BW167" s="4">
        <f t="shared" si="44"/>
        <v>447</v>
      </c>
    </row>
    <row r="168" spans="1:75" s="27" customFormat="1" thickTop="1" thickBot="1" x14ac:dyDescent="0.3">
      <c r="A168" s="21">
        <v>447</v>
      </c>
      <c r="B168" s="22">
        <v>45</v>
      </c>
      <c r="C168" s="22">
        <v>7</v>
      </c>
      <c r="D168" s="23"/>
      <c r="E168" s="24">
        <v>138</v>
      </c>
      <c r="F168" s="24">
        <v>8</v>
      </c>
      <c r="G168" s="25">
        <f t="shared" si="50"/>
        <v>130</v>
      </c>
      <c r="H168" s="23"/>
      <c r="I168" s="22">
        <v>114</v>
      </c>
      <c r="J168" s="3">
        <f t="shared" si="52"/>
        <v>-27.432692307692321</v>
      </c>
      <c r="K168" s="26">
        <f t="shared" si="51"/>
        <v>198</v>
      </c>
      <c r="L168" s="23"/>
      <c r="N168" s="23"/>
      <c r="O168" s="28">
        <v>8.3000000000000004E-2</v>
      </c>
      <c r="P168" s="29">
        <v>1.2E-2</v>
      </c>
      <c r="Q168" s="23"/>
      <c r="R168" s="30">
        <v>38</v>
      </c>
      <c r="S168" s="31">
        <v>10</v>
      </c>
      <c r="T168" s="32">
        <v>330</v>
      </c>
      <c r="U168" s="23"/>
      <c r="V168" s="33">
        <v>332</v>
      </c>
      <c r="W168" s="75">
        <f t="shared" si="38"/>
        <v>15.169722539575694</v>
      </c>
      <c r="X168" s="5"/>
      <c r="Y168" s="55">
        <v>151</v>
      </c>
      <c r="Z168" s="13">
        <f t="shared" si="45"/>
        <v>0.1631640786334155</v>
      </c>
      <c r="AB168" s="27">
        <v>10</v>
      </c>
      <c r="AC168" s="27">
        <v>10</v>
      </c>
      <c r="AE168" s="5">
        <f t="shared" si="46"/>
        <v>447</v>
      </c>
      <c r="AF168" s="28"/>
      <c r="AG168" s="55"/>
      <c r="AH168" s="3"/>
      <c r="AJ168" s="5"/>
      <c r="AK168" s="2">
        <v>500</v>
      </c>
      <c r="AL168" s="7">
        <f t="shared" si="39"/>
        <v>1.9E-2</v>
      </c>
      <c r="AM168" s="8">
        <f t="shared" si="40"/>
        <v>6.4000000000000001E-2</v>
      </c>
      <c r="AN168" s="56">
        <f t="shared" si="41"/>
        <v>5.0000000000000001E-3</v>
      </c>
      <c r="AO168" s="9">
        <f t="shared" si="42"/>
        <v>7.0000000000000001E-3</v>
      </c>
      <c r="AP168" s="5"/>
      <c r="AQ168" s="91"/>
      <c r="AR168" s="5"/>
      <c r="AS168" s="96"/>
      <c r="AT168" s="5"/>
      <c r="AU168" s="30"/>
      <c r="AV168" s="31"/>
      <c r="AW168" s="32"/>
      <c r="AX168" s="147"/>
      <c r="BN168" s="5"/>
      <c r="BO168">
        <f t="shared" si="47"/>
        <v>0.17885499999999999</v>
      </c>
      <c r="BP168">
        <f t="shared" si="43"/>
        <v>0.29371000000000003</v>
      </c>
      <c r="BQ168">
        <f t="shared" si="48"/>
        <v>0.21714</v>
      </c>
      <c r="BR168">
        <f t="shared" si="49"/>
        <v>0.14057</v>
      </c>
      <c r="BS168" s="28"/>
      <c r="BT168" s="91"/>
      <c r="BU168" s="28"/>
      <c r="BV168" s="91"/>
      <c r="BW168" s="4">
        <f t="shared" si="44"/>
        <v>447</v>
      </c>
    </row>
    <row r="169" spans="1:75" thickTop="1" thickBot="1" x14ac:dyDescent="0.3">
      <c r="A169" s="15">
        <v>448</v>
      </c>
      <c r="B169" s="16">
        <v>45</v>
      </c>
      <c r="C169" s="16">
        <v>8</v>
      </c>
      <c r="D169" s="17"/>
      <c r="E169" s="1">
        <v>136</v>
      </c>
      <c r="F169" s="1">
        <v>8</v>
      </c>
      <c r="G169" s="18">
        <f t="shared" si="50"/>
        <v>128</v>
      </c>
      <c r="H169" s="17"/>
      <c r="I169" s="19">
        <v>10</v>
      </c>
      <c r="J169" s="3">
        <f t="shared" si="52"/>
        <v>-22.939453125</v>
      </c>
      <c r="K169" s="20">
        <f t="shared" si="51"/>
        <v>210</v>
      </c>
      <c r="L169" s="17"/>
      <c r="N169" s="17"/>
      <c r="O169" s="8">
        <v>0.434</v>
      </c>
      <c r="P169" s="9">
        <v>3.4000000000000002E-2</v>
      </c>
      <c r="Q169" s="17"/>
      <c r="R169" s="10">
        <v>192</v>
      </c>
      <c r="S169" s="11">
        <v>13</v>
      </c>
      <c r="T169" s="12">
        <v>1150</v>
      </c>
      <c r="U169" s="17"/>
      <c r="V169" s="7">
        <v>1794</v>
      </c>
      <c r="W169" s="13">
        <f t="shared" si="38"/>
        <v>14.337856743911157</v>
      </c>
      <c r="Y169" s="56">
        <v>395</v>
      </c>
      <c r="Z169" s="13">
        <f t="shared" si="45"/>
        <v>0.15010544816768062</v>
      </c>
      <c r="AB169" s="72">
        <v>10</v>
      </c>
      <c r="AC169" s="72">
        <v>10</v>
      </c>
      <c r="AE169" s="5">
        <f t="shared" si="46"/>
        <v>448</v>
      </c>
      <c r="AF169" s="8">
        <f>(O169*AB169+O170*AB170+O171*AB171)/100</f>
        <v>0.32880000000000004</v>
      </c>
      <c r="AG169" s="56">
        <f>(P169*AC169+P170*AC170+P171*AC171)/100</f>
        <v>0.04</v>
      </c>
      <c r="AH169" s="3">
        <f>225-5.625*($B169-0.5)</f>
        <v>-25.3125</v>
      </c>
      <c r="AI169">
        <f>K169</f>
        <v>210</v>
      </c>
      <c r="AK169" s="2">
        <v>800</v>
      </c>
      <c r="AL169" s="7">
        <f t="shared" si="39"/>
        <v>0.15359999999999999</v>
      </c>
      <c r="AM169" s="8">
        <f t="shared" si="40"/>
        <v>0.28039999999999998</v>
      </c>
      <c r="AN169" s="56">
        <f t="shared" si="41"/>
        <v>1.04E-2</v>
      </c>
      <c r="AO169" s="9">
        <f t="shared" si="42"/>
        <v>2.3600000000000003E-2</v>
      </c>
      <c r="AQ169" s="90">
        <f>($AB169*AM169+$AB170*AM170+$AB171*AM171)/100</f>
        <v>0.17995</v>
      </c>
      <c r="AS169" s="95">
        <f>($AB169*AO169+$AB170*AO170+$AB171*AO171)/100</f>
        <v>2.1530000000000004E-2</v>
      </c>
      <c r="AU169" s="10">
        <f>($AB169*R169+$AB170*R170+$AB171*R171)/100</f>
        <v>209.9</v>
      </c>
      <c r="AV169" s="11">
        <f>($AB169*S169+$AB170*S170+$AB171*S171)/100</f>
        <v>26.2</v>
      </c>
      <c r="AW169" s="12">
        <f>($AB169*T169+$AB170*T170+$AB171*T171)/100</f>
        <v>1085</v>
      </c>
      <c r="AX169" s="147">
        <f>($AB169*AK169+$AB170*AK170+$AB171*AK171)/100</f>
        <v>710</v>
      </c>
      <c r="BO169">
        <f t="shared" si="47"/>
        <v>0.86071999999999993</v>
      </c>
      <c r="BP169">
        <f t="shared" si="43"/>
        <v>1.4410399999999999</v>
      </c>
      <c r="BQ169">
        <f t="shared" si="48"/>
        <v>1.05416</v>
      </c>
      <c r="BR169">
        <f t="shared" si="49"/>
        <v>0.66727999999999998</v>
      </c>
      <c r="BS169" s="8">
        <f>($AB169*BO169+$AB170*BO170+$AB171*BO171)/100</f>
        <v>0.81437274999999998</v>
      </c>
      <c r="BT169" s="90">
        <f>($AB169*BP169+$AB170*BP170+$AB171*BP171)/100</f>
        <v>1.4487954999999999</v>
      </c>
      <c r="BU169" s="8">
        <f>($AB169*BQ169+$AB170*BQ170+$AB171*BQ171)/100</f>
        <v>1.025847</v>
      </c>
      <c r="BV169" s="90">
        <f>($AB169*BR169+$AB170*BR170+$AB171*BR171)/100</f>
        <v>0.6028985</v>
      </c>
      <c r="BW169" s="4">
        <f t="shared" si="44"/>
        <v>448</v>
      </c>
    </row>
    <row r="170" spans="1:75" thickTop="1" thickBot="1" x14ac:dyDescent="0.3">
      <c r="A170" s="4">
        <v>448</v>
      </c>
      <c r="B170" s="2">
        <v>45</v>
      </c>
      <c r="C170" s="2">
        <v>8</v>
      </c>
      <c r="E170" s="1">
        <v>136</v>
      </c>
      <c r="F170" s="1">
        <v>8</v>
      </c>
      <c r="G170" s="3">
        <f t="shared" si="50"/>
        <v>128</v>
      </c>
      <c r="I170" s="2">
        <v>64</v>
      </c>
      <c r="J170" s="3">
        <f t="shared" si="52"/>
        <v>-25.3125</v>
      </c>
      <c r="K170" s="6">
        <f t="shared" si="51"/>
        <v>210</v>
      </c>
      <c r="O170" s="8">
        <v>0.33500000000000002</v>
      </c>
      <c r="P170" s="9">
        <v>4.1000000000000002E-2</v>
      </c>
      <c r="R170" s="10">
        <v>229</v>
      </c>
      <c r="S170" s="11">
        <v>27</v>
      </c>
      <c r="T170" s="12">
        <v>1100</v>
      </c>
      <c r="V170" s="7">
        <v>1332</v>
      </c>
      <c r="W170" s="13">
        <f t="shared" si="38"/>
        <v>14.405120877920725</v>
      </c>
      <c r="Y170" s="56">
        <v>442</v>
      </c>
      <c r="Z170" s="13">
        <f t="shared" si="45"/>
        <v>0.14920604357369049</v>
      </c>
      <c r="AB170" s="72">
        <v>80</v>
      </c>
      <c r="AC170" s="72">
        <v>80</v>
      </c>
      <c r="AE170" s="5">
        <f t="shared" si="46"/>
        <v>448</v>
      </c>
      <c r="AG170" s="56"/>
      <c r="AK170" s="2">
        <v>700</v>
      </c>
      <c r="AL170" s="7">
        <f t="shared" si="39"/>
        <v>0.1603</v>
      </c>
      <c r="AM170" s="8">
        <f t="shared" si="40"/>
        <v>0.17470000000000002</v>
      </c>
      <c r="AN170" s="56">
        <f t="shared" si="41"/>
        <v>1.89E-2</v>
      </c>
      <c r="AO170" s="9">
        <f t="shared" si="42"/>
        <v>2.2100000000000002E-2</v>
      </c>
      <c r="AX170" s="147"/>
      <c r="BO170">
        <f t="shared" si="47"/>
        <v>0.86685250000000003</v>
      </c>
      <c r="BP170">
        <f t="shared" si="43"/>
        <v>1.559005</v>
      </c>
      <c r="BQ170">
        <f t="shared" si="48"/>
        <v>1.0975699999999999</v>
      </c>
      <c r="BR170">
        <f t="shared" si="49"/>
        <v>0.63613500000000001</v>
      </c>
      <c r="BS170" s="8"/>
      <c r="BT170" s="90"/>
      <c r="BU170" s="8"/>
      <c r="BV170" s="90"/>
      <c r="BW170" s="4">
        <f t="shared" si="44"/>
        <v>448</v>
      </c>
    </row>
    <row r="171" spans="1:75" s="27" customFormat="1" thickTop="1" thickBot="1" x14ac:dyDescent="0.3">
      <c r="A171" s="21">
        <v>448</v>
      </c>
      <c r="B171" s="22">
        <v>45</v>
      </c>
      <c r="C171" s="22">
        <v>8</v>
      </c>
      <c r="D171" s="23"/>
      <c r="E171" s="24">
        <v>136</v>
      </c>
      <c r="F171" s="24">
        <v>8</v>
      </c>
      <c r="G171" s="25">
        <f t="shared" si="50"/>
        <v>128</v>
      </c>
      <c r="H171" s="23"/>
      <c r="I171" s="22">
        <v>118</v>
      </c>
      <c r="J171" s="3">
        <f t="shared" si="52"/>
        <v>-27.685546875</v>
      </c>
      <c r="K171" s="26">
        <f t="shared" si="51"/>
        <v>210</v>
      </c>
      <c r="L171" s="23"/>
      <c r="N171" s="23"/>
      <c r="O171" s="28">
        <v>0.17399999999999999</v>
      </c>
      <c r="P171" s="29">
        <v>3.7999999999999999E-2</v>
      </c>
      <c r="Q171" s="23"/>
      <c r="R171" s="30">
        <v>75</v>
      </c>
      <c r="S171" s="31">
        <v>33</v>
      </c>
      <c r="T171" s="32">
        <v>900</v>
      </c>
      <c r="U171" s="23"/>
      <c r="V171" s="33">
        <v>669</v>
      </c>
      <c r="W171" s="13">
        <f t="shared" si="38"/>
        <v>14.661094198903371</v>
      </c>
      <c r="X171" s="5"/>
      <c r="Y171" s="55">
        <v>522</v>
      </c>
      <c r="Z171" s="13">
        <f t="shared" si="45"/>
        <v>0.1480395515133052</v>
      </c>
      <c r="AB171" s="27">
        <v>10</v>
      </c>
      <c r="AC171" s="27">
        <v>10</v>
      </c>
      <c r="AE171" s="5">
        <f t="shared" si="46"/>
        <v>448</v>
      </c>
      <c r="AF171" s="28"/>
      <c r="AG171" s="55"/>
      <c r="AH171" s="3"/>
      <c r="AJ171" s="5"/>
      <c r="AK171" s="2">
        <v>700</v>
      </c>
      <c r="AL171" s="7">
        <f t="shared" si="39"/>
        <v>5.2499999999999998E-2</v>
      </c>
      <c r="AM171" s="8">
        <f t="shared" si="40"/>
        <v>0.1215</v>
      </c>
      <c r="AN171" s="56">
        <f t="shared" si="41"/>
        <v>2.3099999999999999E-2</v>
      </c>
      <c r="AO171" s="9">
        <f t="shared" si="42"/>
        <v>1.49E-2</v>
      </c>
      <c r="AP171" s="5"/>
      <c r="AQ171" s="91"/>
      <c r="AR171" s="5"/>
      <c r="AS171" s="96"/>
      <c r="AT171" s="5"/>
      <c r="AU171" s="30"/>
      <c r="AV171" s="31"/>
      <c r="AW171" s="32"/>
      <c r="AX171" s="147"/>
      <c r="BN171" s="5"/>
      <c r="BO171">
        <f t="shared" si="47"/>
        <v>0.34818749999999998</v>
      </c>
      <c r="BP171">
        <f t="shared" si="43"/>
        <v>0.57487500000000002</v>
      </c>
      <c r="BQ171">
        <f t="shared" si="48"/>
        <v>0.42374999999999996</v>
      </c>
      <c r="BR171">
        <f t="shared" si="49"/>
        <v>0.27262500000000001</v>
      </c>
      <c r="BS171" s="28"/>
      <c r="BT171" s="91"/>
      <c r="BU171" s="28"/>
      <c r="BV171" s="91"/>
      <c r="BW171" s="4">
        <f t="shared" si="44"/>
        <v>448</v>
      </c>
    </row>
    <row r="172" spans="1:75" s="63" customFormat="1" thickTop="1" thickBot="1" x14ac:dyDescent="0.3">
      <c r="A172" s="57" t="s">
        <v>81</v>
      </c>
      <c r="B172" s="58">
        <v>45</v>
      </c>
      <c r="C172" s="58">
        <v>9</v>
      </c>
      <c r="D172" s="59"/>
      <c r="E172" s="60">
        <v>141</v>
      </c>
      <c r="F172" s="60">
        <v>7</v>
      </c>
      <c r="G172" s="61">
        <f t="shared" si="50"/>
        <v>134</v>
      </c>
      <c r="H172" s="59"/>
      <c r="I172" s="87">
        <v>12</v>
      </c>
      <c r="J172" s="3">
        <f t="shared" si="52"/>
        <v>-23.00373134328359</v>
      </c>
      <c r="K172" s="62">
        <f t="shared" si="51"/>
        <v>222</v>
      </c>
      <c r="L172" s="59"/>
      <c r="N172" s="59"/>
      <c r="O172" s="64">
        <v>0.36299999999999999</v>
      </c>
      <c r="P172" s="65">
        <v>3.3000000000000002E-2</v>
      </c>
      <c r="Q172" s="59"/>
      <c r="R172" s="66">
        <v>286</v>
      </c>
      <c r="S172" s="67">
        <v>16</v>
      </c>
      <c r="T172" s="68">
        <v>1300</v>
      </c>
      <c r="U172" s="59"/>
      <c r="V172" s="69">
        <v>461</v>
      </c>
      <c r="W172" s="82">
        <f t="shared" si="38"/>
        <v>14.889324160942675</v>
      </c>
      <c r="X172" s="5"/>
      <c r="Y172" s="70">
        <v>120</v>
      </c>
      <c r="Z172" s="13">
        <f t="shared" si="45"/>
        <v>0.16832508230603463</v>
      </c>
      <c r="AB172" s="63">
        <v>100</v>
      </c>
      <c r="AC172" s="63">
        <v>100</v>
      </c>
      <c r="AE172" s="5" t="str">
        <f t="shared" si="46"/>
        <v>449_2</v>
      </c>
      <c r="AF172" s="64">
        <f>O172</f>
        <v>0.36299999999999999</v>
      </c>
      <c r="AG172" s="70">
        <f>P172</f>
        <v>3.3000000000000002E-2</v>
      </c>
      <c r="AH172" s="3">
        <f>225-5.625*($B172-0.5)</f>
        <v>-25.3125</v>
      </c>
      <c r="AI172">
        <f>K172</f>
        <v>222</v>
      </c>
      <c r="AJ172" s="5"/>
      <c r="AK172" s="2">
        <v>650</v>
      </c>
      <c r="AL172" s="7">
        <f t="shared" si="39"/>
        <v>0.18589999999999998</v>
      </c>
      <c r="AM172" s="8">
        <f t="shared" si="40"/>
        <v>0.17710000000000001</v>
      </c>
      <c r="AN172" s="56">
        <f t="shared" si="41"/>
        <v>1.04E-2</v>
      </c>
      <c r="AO172" s="9">
        <f t="shared" si="42"/>
        <v>2.2600000000000002E-2</v>
      </c>
      <c r="AP172" s="5"/>
      <c r="AQ172" s="92">
        <f>AM172</f>
        <v>0.17710000000000001</v>
      </c>
      <c r="AR172" s="5"/>
      <c r="AS172" s="97">
        <f>AO172</f>
        <v>2.2600000000000002E-2</v>
      </c>
      <c r="AT172" s="5"/>
      <c r="AU172" s="66">
        <f>R172</f>
        <v>286</v>
      </c>
      <c r="AV172" s="67">
        <f>S172</f>
        <v>16</v>
      </c>
      <c r="AW172" s="68">
        <f>T172</f>
        <v>1300</v>
      </c>
      <c r="AX172" s="147">
        <f>AK172</f>
        <v>650</v>
      </c>
      <c r="BN172" s="5"/>
      <c r="BO172">
        <f t="shared" si="47"/>
        <v>1.0415350000000001</v>
      </c>
      <c r="BP172">
        <f t="shared" si="43"/>
        <v>1.9059699999999999</v>
      </c>
      <c r="BQ172">
        <f t="shared" si="48"/>
        <v>1.32968</v>
      </c>
      <c r="BR172">
        <f t="shared" si="49"/>
        <v>0.75339</v>
      </c>
      <c r="BS172" s="64">
        <f>BO172</f>
        <v>1.0415350000000001</v>
      </c>
      <c r="BT172" s="92">
        <f>BP172</f>
        <v>1.9059699999999999</v>
      </c>
      <c r="BU172" s="64">
        <f>BQ172</f>
        <v>1.32968</v>
      </c>
      <c r="BV172" s="92">
        <f>BR172</f>
        <v>0.75339</v>
      </c>
      <c r="BW172" s="4" t="str">
        <f t="shared" si="44"/>
        <v>449_2</v>
      </c>
    </row>
    <row r="173" spans="1:75" thickTop="1" thickBot="1" x14ac:dyDescent="0.3">
      <c r="A173" s="15">
        <v>450</v>
      </c>
      <c r="B173" s="16">
        <v>45</v>
      </c>
      <c r="C173" s="16">
        <v>10</v>
      </c>
      <c r="D173" s="17"/>
      <c r="E173" s="1">
        <v>144</v>
      </c>
      <c r="F173" s="1">
        <v>0</v>
      </c>
      <c r="G173" s="18">
        <f t="shared" si="50"/>
        <v>144</v>
      </c>
      <c r="H173" s="17"/>
      <c r="I173" s="19">
        <v>10</v>
      </c>
      <c r="J173" s="3">
        <f t="shared" si="52"/>
        <v>-22.890625</v>
      </c>
      <c r="K173" s="20">
        <f t="shared" si="51"/>
        <v>234</v>
      </c>
      <c r="L173" s="17"/>
      <c r="N173" s="17"/>
      <c r="O173" s="8">
        <v>1.0069999999999999</v>
      </c>
      <c r="P173" s="9">
        <v>9.1999999999999998E-2</v>
      </c>
      <c r="Q173" s="17"/>
      <c r="R173" s="10">
        <v>245</v>
      </c>
      <c r="S173" s="11">
        <v>40</v>
      </c>
      <c r="T173" s="12">
        <v>1700</v>
      </c>
      <c r="U173" s="17"/>
      <c r="V173" s="7">
        <v>2161</v>
      </c>
      <c r="W173" s="13">
        <f t="shared" si="38"/>
        <v>14.304806439599593</v>
      </c>
      <c r="Y173" s="56">
        <v>621</v>
      </c>
      <c r="Z173" s="13">
        <f t="shared" si="45"/>
        <v>0.14700444196735027</v>
      </c>
      <c r="AB173" s="72">
        <v>20</v>
      </c>
      <c r="AC173" s="72">
        <v>20</v>
      </c>
      <c r="AE173" s="5">
        <f t="shared" si="46"/>
        <v>450</v>
      </c>
      <c r="AF173" s="8">
        <f>(O173*AB173+O174*AB174+O175*AB175)/100</f>
        <v>1.0937999999999999</v>
      </c>
      <c r="AG173" s="56">
        <f>(P173*AC173+P174*AC174+P175*AC175)/100</f>
        <v>9.0200000000000002E-2</v>
      </c>
      <c r="AH173" s="3">
        <f>225-5.625*($B173-0.5)</f>
        <v>-25.3125</v>
      </c>
      <c r="AI173">
        <f>K173</f>
        <v>234</v>
      </c>
      <c r="AK173" s="2">
        <v>650</v>
      </c>
      <c r="AL173" s="7">
        <f t="shared" si="39"/>
        <v>0.15925</v>
      </c>
      <c r="AM173" s="8">
        <f t="shared" si="40"/>
        <v>0.84774999999999989</v>
      </c>
      <c r="AN173" s="56">
        <f t="shared" si="41"/>
        <v>2.5999999999999999E-2</v>
      </c>
      <c r="AO173" s="9">
        <f t="shared" si="42"/>
        <v>6.6000000000000003E-2</v>
      </c>
      <c r="AQ173" s="90">
        <f>($AB173*AM173+$AB174*AM174+$AB175*AM175)/100</f>
        <v>0.9049100000000001</v>
      </c>
      <c r="AS173" s="95">
        <f>($AB173*AO173+$AB174*AO174+$AB175*AO175)/100</f>
        <v>7.0570000000000008E-2</v>
      </c>
      <c r="AU173" s="10">
        <f>($AB173*R173+$AB174*R174+$AB175*R175)/100</f>
        <v>290.60000000000002</v>
      </c>
      <c r="AV173" s="11">
        <f>($AB173*S173+$AB174*S174+$AB175*S175)/100</f>
        <v>30.2</v>
      </c>
      <c r="AW173" s="12">
        <f>($AB173*T173+$AB174*T174+$AB175*T175)/100</f>
        <v>2000</v>
      </c>
      <c r="AX173" s="147">
        <f>($AB173*AK173+$AB174*AK174+$AB175*AK175)/100</f>
        <v>650</v>
      </c>
      <c r="BO173">
        <f t="shared" si="47"/>
        <v>1.5882624999999999</v>
      </c>
      <c r="BP173">
        <f t="shared" si="43"/>
        <v>2.3287749999999998</v>
      </c>
      <c r="BQ173">
        <f t="shared" si="48"/>
        <v>1.8350999999999997</v>
      </c>
      <c r="BR173">
        <f t="shared" si="49"/>
        <v>1.3414249999999999</v>
      </c>
      <c r="BS173" s="8">
        <f>($AB173*BO173+$AB174*BO174+$AB175*BO175)/100</f>
        <v>1.7832485</v>
      </c>
      <c r="BT173" s="90">
        <f>($AB173*BP173+$AB174*BP174+$AB175*BP175)/100</f>
        <v>2.6615870000000008</v>
      </c>
      <c r="BU173" s="8">
        <f>($AB173*BQ173+$AB174*BQ174+$AB175*BQ175)/100</f>
        <v>2.076028</v>
      </c>
      <c r="BV173" s="90">
        <f>($AB173*BR173+$AB174*BR174+$AB175*BR175)/100</f>
        <v>1.490469</v>
      </c>
      <c r="BW173" s="4">
        <f t="shared" si="44"/>
        <v>450</v>
      </c>
    </row>
    <row r="174" spans="1:75" thickTop="1" thickBot="1" x14ac:dyDescent="0.3">
      <c r="A174" s="4">
        <v>450</v>
      </c>
      <c r="B174" s="93">
        <v>45</v>
      </c>
      <c r="C174" s="93">
        <v>10</v>
      </c>
      <c r="E174" s="1">
        <v>144</v>
      </c>
      <c r="F174" s="1">
        <v>0</v>
      </c>
      <c r="G174" s="3">
        <f t="shared" si="50"/>
        <v>144</v>
      </c>
      <c r="I174" s="2">
        <v>72</v>
      </c>
      <c r="J174" s="3">
        <f t="shared" si="52"/>
        <v>-25.3125</v>
      </c>
      <c r="K174" s="6">
        <f t="shared" si="51"/>
        <v>234</v>
      </c>
      <c r="O174" s="8">
        <v>1.1060000000000001</v>
      </c>
      <c r="P174" s="9">
        <v>8.5999999999999993E-2</v>
      </c>
      <c r="R174" s="10">
        <v>289</v>
      </c>
      <c r="S174" s="11">
        <v>28</v>
      </c>
      <c r="T174" s="12">
        <v>2200</v>
      </c>
      <c r="V174" s="7">
        <v>2442</v>
      </c>
      <c r="W174" s="13">
        <f t="shared" si="38"/>
        <v>14.286182278516682</v>
      </c>
      <c r="Y174" s="56">
        <v>581</v>
      </c>
      <c r="Z174" s="13">
        <f t="shared" si="45"/>
        <v>0.14738103811504788</v>
      </c>
      <c r="AB174" s="72">
        <v>60</v>
      </c>
      <c r="AC174" s="72">
        <v>60</v>
      </c>
      <c r="AE174" s="5">
        <f t="shared" si="46"/>
        <v>450</v>
      </c>
      <c r="AG174" s="56"/>
      <c r="AK174" s="2">
        <v>650</v>
      </c>
      <c r="AL174" s="7">
        <f t="shared" si="39"/>
        <v>0.18784999999999999</v>
      </c>
      <c r="AM174" s="8">
        <f t="shared" si="40"/>
        <v>0.91815000000000013</v>
      </c>
      <c r="AN174" s="56">
        <f t="shared" si="41"/>
        <v>1.8200000000000001E-2</v>
      </c>
      <c r="AO174" s="9">
        <f t="shared" si="42"/>
        <v>6.7799999999999999E-2</v>
      </c>
      <c r="AX174" s="147"/>
      <c r="BO174">
        <f t="shared" si="47"/>
        <v>1.7916525000000001</v>
      </c>
      <c r="BP174">
        <f t="shared" si="43"/>
        <v>2.6651550000000004</v>
      </c>
      <c r="BQ174">
        <f t="shared" si="48"/>
        <v>2.0828199999999999</v>
      </c>
      <c r="BR174">
        <f t="shared" si="49"/>
        <v>1.5004850000000001</v>
      </c>
      <c r="BS174" s="8"/>
      <c r="BT174" s="90"/>
      <c r="BU174" s="8"/>
      <c r="BV174" s="90"/>
      <c r="BW174" s="4">
        <f t="shared" si="44"/>
        <v>450</v>
      </c>
    </row>
    <row r="175" spans="1:75" s="27" customFormat="1" thickTop="1" thickBot="1" x14ac:dyDescent="0.3">
      <c r="A175" s="21">
        <v>450</v>
      </c>
      <c r="B175" s="22">
        <v>45</v>
      </c>
      <c r="C175" s="22">
        <v>10</v>
      </c>
      <c r="D175" s="23"/>
      <c r="E175" s="24">
        <v>144</v>
      </c>
      <c r="F175" s="24">
        <v>0</v>
      </c>
      <c r="G175" s="25">
        <f t="shared" si="50"/>
        <v>144</v>
      </c>
      <c r="H175" s="23"/>
      <c r="I175" s="22">
        <v>134</v>
      </c>
      <c r="J175" s="3">
        <f t="shared" si="52"/>
        <v>-27.734375</v>
      </c>
      <c r="K175" s="26">
        <f t="shared" si="51"/>
        <v>234</v>
      </c>
      <c r="L175" s="23"/>
      <c r="N175" s="23"/>
      <c r="O175" s="28">
        <v>1.1439999999999999</v>
      </c>
      <c r="P175" s="29">
        <v>0.10100000000000001</v>
      </c>
      <c r="Q175" s="23"/>
      <c r="R175" s="30">
        <v>341</v>
      </c>
      <c r="S175" s="31">
        <v>27</v>
      </c>
      <c r="T175" s="32">
        <v>1700</v>
      </c>
      <c r="U175" s="23"/>
      <c r="V175" s="33">
        <v>3050</v>
      </c>
      <c r="W175" s="75">
        <f t="shared" si="38"/>
        <v>14.257583544366492</v>
      </c>
      <c r="X175" s="5"/>
      <c r="Y175" s="55">
        <v>791</v>
      </c>
      <c r="Z175" s="13">
        <f t="shared" si="45"/>
        <v>0.14582257199473805</v>
      </c>
      <c r="AB175" s="27">
        <v>20</v>
      </c>
      <c r="AC175" s="27">
        <v>20</v>
      </c>
      <c r="AE175" s="5">
        <f t="shared" si="46"/>
        <v>450</v>
      </c>
      <c r="AF175" s="28"/>
      <c r="AG175" s="55"/>
      <c r="AH175" s="3"/>
      <c r="AJ175" s="5"/>
      <c r="AK175" s="2">
        <v>650</v>
      </c>
      <c r="AL175" s="7">
        <f t="shared" si="39"/>
        <v>0.22164999999999999</v>
      </c>
      <c r="AM175" s="8">
        <f t="shared" si="40"/>
        <v>0.92234999999999989</v>
      </c>
      <c r="AN175" s="56">
        <f t="shared" si="41"/>
        <v>1.755E-2</v>
      </c>
      <c r="AO175" s="9">
        <f t="shared" si="42"/>
        <v>8.345000000000001E-2</v>
      </c>
      <c r="AP175" s="5"/>
      <c r="AQ175" s="91"/>
      <c r="AR175" s="5"/>
      <c r="AS175" s="96"/>
      <c r="AT175" s="5"/>
      <c r="AU175" s="30"/>
      <c r="AV175" s="31"/>
      <c r="AW175" s="32"/>
      <c r="AX175" s="147"/>
      <c r="BN175" s="5"/>
      <c r="BO175">
        <f t="shared" si="47"/>
        <v>1.9530224999999999</v>
      </c>
      <c r="BP175">
        <f t="shared" si="43"/>
        <v>2.983695</v>
      </c>
      <c r="BQ175">
        <f t="shared" si="48"/>
        <v>2.2965799999999996</v>
      </c>
      <c r="BR175">
        <f t="shared" si="49"/>
        <v>1.6094649999999999</v>
      </c>
      <c r="BS175" s="28"/>
      <c r="BT175" s="91"/>
      <c r="BU175" s="28"/>
      <c r="BV175" s="91"/>
      <c r="BW175" s="4">
        <f t="shared" si="44"/>
        <v>450</v>
      </c>
    </row>
    <row r="176" spans="1:75" thickTop="1" thickBot="1" x14ac:dyDescent="0.3">
      <c r="A176" s="15">
        <v>455</v>
      </c>
      <c r="B176" s="16">
        <v>46</v>
      </c>
      <c r="C176" s="16">
        <v>5</v>
      </c>
      <c r="D176" s="17"/>
      <c r="E176" s="1">
        <v>136</v>
      </c>
      <c r="F176" s="1">
        <v>14</v>
      </c>
      <c r="G176" s="18">
        <f t="shared" si="50"/>
        <v>122</v>
      </c>
      <c r="H176" s="17"/>
      <c r="I176" s="19">
        <v>10</v>
      </c>
      <c r="J176" s="3">
        <f t="shared" si="52"/>
        <v>-28.586065573770469</v>
      </c>
      <c r="K176" s="20">
        <f t="shared" si="51"/>
        <v>174</v>
      </c>
      <c r="L176" s="17"/>
      <c r="N176" s="17"/>
      <c r="O176" s="8">
        <v>0.123</v>
      </c>
      <c r="P176" s="9">
        <v>2.9000000000000001E-2</v>
      </c>
      <c r="Q176" s="17"/>
      <c r="R176" s="10">
        <v>76</v>
      </c>
      <c r="S176" s="11">
        <v>29</v>
      </c>
      <c r="T176" s="12">
        <v>1100</v>
      </c>
      <c r="U176" s="17"/>
      <c r="V176" s="7">
        <v>166</v>
      </c>
      <c r="W176" s="13">
        <f t="shared" si="38"/>
        <v>16.131985738135953</v>
      </c>
      <c r="Y176" s="56">
        <v>0</v>
      </c>
      <c r="Z176" s="13" t="e">
        <f t="shared" si="45"/>
        <v>#DIV/0!</v>
      </c>
      <c r="AB176" s="72">
        <v>10</v>
      </c>
      <c r="AC176" s="72">
        <v>10</v>
      </c>
      <c r="AE176" s="5">
        <f t="shared" si="46"/>
        <v>455</v>
      </c>
      <c r="AF176" s="8">
        <f>(O176*AB176+O177*AB177+O178*AB178)/100</f>
        <v>0.21660000000000001</v>
      </c>
      <c r="AG176" s="56">
        <f>(P176*AC176+P177*AC177+P178*AC178)/100</f>
        <v>4.1599999999999991E-2</v>
      </c>
      <c r="AH176" s="3">
        <f>225-5.625*($B176-0.5)</f>
        <v>-30.9375</v>
      </c>
      <c r="AI176">
        <f>K176</f>
        <v>174</v>
      </c>
      <c r="AK176" s="2">
        <v>700</v>
      </c>
      <c r="AL176" s="7">
        <f t="shared" si="39"/>
        <v>5.3199999999999997E-2</v>
      </c>
      <c r="AM176" s="8">
        <f t="shared" si="40"/>
        <v>6.9800000000000001E-2</v>
      </c>
      <c r="AN176" s="56">
        <f t="shared" si="41"/>
        <v>2.0299999999999999E-2</v>
      </c>
      <c r="AO176" s="9">
        <f t="shared" si="42"/>
        <v>8.7000000000000029E-3</v>
      </c>
      <c r="AQ176" s="90">
        <f>($AB176*AM176+$AB177*AM177+$AB178*AM178)/100</f>
        <v>0.12854000000000002</v>
      </c>
      <c r="AS176" s="95">
        <f>($AB176*AO176+$AB177*AO177+$AB178*AO178)/100</f>
        <v>2.5150000000000002E-2</v>
      </c>
      <c r="AU176" s="10">
        <f>($AB176*R176+$AB177*R177+$AB178*R178)/100</f>
        <v>125.8</v>
      </c>
      <c r="AV176" s="11">
        <f>($AB176*S176+$AB177*S177+$AB178*S178)/100</f>
        <v>23.5</v>
      </c>
      <c r="AW176" s="12">
        <f>($AB176*T176+$AB177*T177+$AB178*T178)/100</f>
        <v>850</v>
      </c>
      <c r="AX176" s="147">
        <f>($AB176*AK176+$AB177*AK177+$AB178*AK178)/100</f>
        <v>700</v>
      </c>
      <c r="BO176">
        <f t="shared" si="47"/>
        <v>0.29951</v>
      </c>
      <c r="BP176">
        <f t="shared" si="43"/>
        <v>0.52922000000000002</v>
      </c>
      <c r="BQ176">
        <f t="shared" si="48"/>
        <v>0.37608000000000003</v>
      </c>
      <c r="BR176">
        <f t="shared" si="49"/>
        <v>0.22294</v>
      </c>
      <c r="BS176" s="8">
        <f>($AB176*BO176+$AB177*BO177+$AB178*BO178)/100</f>
        <v>0.50877050000000001</v>
      </c>
      <c r="BT176" s="90">
        <f>($AB176*BP176+$AB177*BP177+$AB178*BP178)/100</f>
        <v>0.88900099999999982</v>
      </c>
      <c r="BU176" s="8">
        <f>($AB176*BQ176+$AB177*BQ177+$AB178*BQ178)/100</f>
        <v>0.63551400000000013</v>
      </c>
      <c r="BV176" s="90">
        <f>($AB176*BR176+$AB177*BR177+$AB178*BR178)/100</f>
        <v>0.38202700000000001</v>
      </c>
      <c r="BW176" s="4">
        <f t="shared" si="44"/>
        <v>455</v>
      </c>
    </row>
    <row r="177" spans="1:75" thickTop="1" thickBot="1" x14ac:dyDescent="0.3">
      <c r="A177" s="4">
        <v>455</v>
      </c>
      <c r="B177" s="93">
        <v>46</v>
      </c>
      <c r="C177" s="93">
        <v>5</v>
      </c>
      <c r="E177" s="1">
        <v>136</v>
      </c>
      <c r="F177" s="1">
        <v>14</v>
      </c>
      <c r="G177" s="3">
        <f t="shared" si="50"/>
        <v>122</v>
      </c>
      <c r="I177" s="2">
        <v>61</v>
      </c>
      <c r="J177" s="3">
        <f t="shared" si="52"/>
        <v>-30.9375</v>
      </c>
      <c r="K177" s="6">
        <f t="shared" si="51"/>
        <v>174</v>
      </c>
      <c r="O177" s="8">
        <v>0.217</v>
      </c>
      <c r="P177" s="9">
        <v>4.2999999999999997E-2</v>
      </c>
      <c r="R177" s="10">
        <v>138</v>
      </c>
      <c r="S177" s="11">
        <v>20</v>
      </c>
      <c r="T177" s="12">
        <v>800</v>
      </c>
      <c r="V177" s="7">
        <v>292</v>
      </c>
      <c r="W177" s="13">
        <f t="shared" si="38"/>
        <v>15.305115985920063</v>
      </c>
      <c r="Y177" s="56">
        <v>179</v>
      </c>
      <c r="Z177" s="13">
        <f t="shared" si="45"/>
        <v>0.15995809507108716</v>
      </c>
      <c r="AB177" s="72">
        <v>80</v>
      </c>
      <c r="AC177" s="72">
        <v>80</v>
      </c>
      <c r="AE177" s="5">
        <f t="shared" si="46"/>
        <v>455</v>
      </c>
      <c r="AG177" s="56"/>
      <c r="AK177" s="2">
        <v>700</v>
      </c>
      <c r="AL177" s="7">
        <f t="shared" si="39"/>
        <v>9.6599999999999991E-2</v>
      </c>
      <c r="AM177" s="8">
        <f t="shared" si="40"/>
        <v>0.12040000000000001</v>
      </c>
      <c r="AN177" s="56">
        <f t="shared" si="41"/>
        <v>1.3999999999999999E-2</v>
      </c>
      <c r="AO177" s="9">
        <f t="shared" si="42"/>
        <v>2.8999999999999998E-2</v>
      </c>
      <c r="AX177" s="147"/>
      <c r="BO177">
        <f t="shared" si="47"/>
        <v>0.53750500000000001</v>
      </c>
      <c r="BP177">
        <f t="shared" si="43"/>
        <v>0.95460999999999996</v>
      </c>
      <c r="BQ177">
        <f t="shared" si="48"/>
        <v>0.67654000000000003</v>
      </c>
      <c r="BR177">
        <f t="shared" si="49"/>
        <v>0.39846999999999999</v>
      </c>
      <c r="BS177" s="8"/>
      <c r="BT177" s="90"/>
      <c r="BU177" s="8"/>
      <c r="BV177" s="90"/>
      <c r="BW177" s="4">
        <f t="shared" si="44"/>
        <v>455</v>
      </c>
    </row>
    <row r="178" spans="1:75" s="27" customFormat="1" thickTop="1" thickBot="1" x14ac:dyDescent="0.3">
      <c r="A178" s="21">
        <v>455</v>
      </c>
      <c r="B178" s="22">
        <v>46</v>
      </c>
      <c r="C178" s="22">
        <v>5</v>
      </c>
      <c r="D178" s="23"/>
      <c r="E178" s="24">
        <v>136</v>
      </c>
      <c r="F178" s="24">
        <v>14</v>
      </c>
      <c r="G178" s="25">
        <f t="shared" si="50"/>
        <v>122</v>
      </c>
      <c r="H178" s="23"/>
      <c r="I178" s="22">
        <v>112</v>
      </c>
      <c r="J178" s="3">
        <f t="shared" si="52"/>
        <v>-33.288934426229503</v>
      </c>
      <c r="K178" s="26">
        <f t="shared" si="51"/>
        <v>174</v>
      </c>
      <c r="L178" s="23"/>
      <c r="N178" s="23"/>
      <c r="O178" s="28">
        <v>0.307</v>
      </c>
      <c r="P178" s="29">
        <v>4.2999999999999997E-2</v>
      </c>
      <c r="Q178" s="23"/>
      <c r="R178" s="30">
        <v>78</v>
      </c>
      <c r="S178" s="31">
        <v>46</v>
      </c>
      <c r="T178" s="32">
        <v>1000</v>
      </c>
      <c r="U178" s="23"/>
      <c r="V178" s="33">
        <v>380</v>
      </c>
      <c r="W178" s="75">
        <f t="shared" si="38"/>
        <v>15.043795713638373</v>
      </c>
      <c r="X178" s="5"/>
      <c r="Y178" s="55">
        <v>0</v>
      </c>
      <c r="Z178" s="13" t="e">
        <f t="shared" si="45"/>
        <v>#DIV/0!</v>
      </c>
      <c r="AB178" s="27">
        <v>10</v>
      </c>
      <c r="AC178" s="27">
        <v>10</v>
      </c>
      <c r="AE178" s="5">
        <f t="shared" si="46"/>
        <v>455</v>
      </c>
      <c r="AF178" s="28"/>
      <c r="AG178" s="55"/>
      <c r="AH178" s="3"/>
      <c r="AJ178" s="5"/>
      <c r="AK178" s="2">
        <v>700</v>
      </c>
      <c r="AL178" s="7">
        <f t="shared" si="39"/>
        <v>5.4599999999999996E-2</v>
      </c>
      <c r="AM178" s="8">
        <f t="shared" si="40"/>
        <v>0.25240000000000001</v>
      </c>
      <c r="AN178" s="56">
        <f t="shared" si="41"/>
        <v>3.2199999999999999E-2</v>
      </c>
      <c r="AO178" s="9">
        <f t="shared" si="42"/>
        <v>1.0799999999999997E-2</v>
      </c>
      <c r="AP178" s="5"/>
      <c r="AQ178" s="91"/>
      <c r="AR178" s="5"/>
      <c r="AS178" s="96"/>
      <c r="AT178" s="5"/>
      <c r="AU178" s="30"/>
      <c r="AV178" s="31"/>
      <c r="AW178" s="32"/>
      <c r="AX178" s="147"/>
      <c r="BN178" s="5"/>
      <c r="BO178">
        <f t="shared" si="47"/>
        <v>0.48815500000000001</v>
      </c>
      <c r="BP178">
        <f t="shared" si="43"/>
        <v>0.72391000000000005</v>
      </c>
      <c r="BQ178">
        <f t="shared" si="48"/>
        <v>0.56674000000000002</v>
      </c>
      <c r="BR178">
        <f t="shared" si="49"/>
        <v>0.40956999999999999</v>
      </c>
      <c r="BS178" s="28"/>
      <c r="BT178" s="91"/>
      <c r="BU178" s="28"/>
      <c r="BV178" s="91"/>
      <c r="BW178" s="4">
        <f t="shared" si="44"/>
        <v>455</v>
      </c>
    </row>
    <row r="179" spans="1:75" thickTop="1" thickBot="1" x14ac:dyDescent="0.3">
      <c r="A179" s="15">
        <v>456</v>
      </c>
      <c r="B179" s="16">
        <v>46</v>
      </c>
      <c r="C179" s="16">
        <v>6</v>
      </c>
      <c r="D179" s="17"/>
      <c r="E179" s="1">
        <v>136</v>
      </c>
      <c r="F179" s="1">
        <v>10</v>
      </c>
      <c r="G179" s="18">
        <f t="shared" si="50"/>
        <v>126</v>
      </c>
      <c r="H179" s="17"/>
      <c r="I179" s="19">
        <v>10</v>
      </c>
      <c r="J179" s="3">
        <f t="shared" si="52"/>
        <v>-28.571428571428584</v>
      </c>
      <c r="K179" s="20">
        <f t="shared" si="51"/>
        <v>186</v>
      </c>
      <c r="L179" s="17"/>
      <c r="N179" s="17"/>
      <c r="O179" s="8">
        <v>7.0000000000000007E-2</v>
      </c>
      <c r="P179" s="9">
        <v>3.2000000000000001E-2</v>
      </c>
      <c r="Q179" s="17"/>
      <c r="R179" s="10">
        <v>57</v>
      </c>
      <c r="S179" s="11">
        <v>19</v>
      </c>
      <c r="T179" s="12">
        <v>600</v>
      </c>
      <c r="U179" s="17"/>
      <c r="V179" s="7">
        <v>116</v>
      </c>
      <c r="W179" s="13">
        <f t="shared" si="38"/>
        <v>16.917650444187696</v>
      </c>
      <c r="Y179" s="56">
        <v>163</v>
      </c>
      <c r="Z179" s="13">
        <f t="shared" si="45"/>
        <v>0.16166313533132215</v>
      </c>
      <c r="AB179" s="72">
        <v>5</v>
      </c>
      <c r="AC179" s="72">
        <v>5</v>
      </c>
      <c r="AE179" s="5">
        <f t="shared" si="46"/>
        <v>456</v>
      </c>
      <c r="AF179" s="8">
        <f>(O179*AB179+O180*AB180+O181*AB181)/100</f>
        <v>0.1837</v>
      </c>
      <c r="AG179" s="56">
        <f>(P179*AC179+P180*AC180+P181*AC181)/100</f>
        <v>3.85E-2</v>
      </c>
      <c r="AH179" s="3">
        <f>225-5.625*($B179-0.5)</f>
        <v>-30.9375</v>
      </c>
      <c r="AI179">
        <f>K179</f>
        <v>186</v>
      </c>
      <c r="AK179" s="2">
        <v>700</v>
      </c>
      <c r="AL179" s="7">
        <f t="shared" si="39"/>
        <v>3.9899999999999998E-2</v>
      </c>
      <c r="AM179" s="8">
        <f t="shared" si="40"/>
        <v>3.0100000000000009E-2</v>
      </c>
      <c r="AN179" s="56">
        <f t="shared" si="41"/>
        <v>1.3299999999999999E-2</v>
      </c>
      <c r="AO179" s="9">
        <f t="shared" si="42"/>
        <v>1.8700000000000001E-2</v>
      </c>
      <c r="AQ179" s="90">
        <f>($AB179*AM179+$AB180*AM180+$AB181*AM181)/100</f>
        <v>0.14655499999999999</v>
      </c>
      <c r="AS179" s="95">
        <f>($AB179*AO179+$AB180*AO180+$AB181*AO181)/100</f>
        <v>3.1655000000000003E-2</v>
      </c>
      <c r="AU179" s="10">
        <f>($AB179*R179+$AB180*R180+$AB181*R181)/100</f>
        <v>71.349999999999994</v>
      </c>
      <c r="AV179" s="11">
        <f>($AB179*S179+$AB180*S180+$AB181*S181)/100</f>
        <v>12.95</v>
      </c>
      <c r="AW179" s="12">
        <f>($AB179*T179+$AB180*T180+$AB181*T181)/100</f>
        <v>610</v>
      </c>
      <c r="AX179" s="147">
        <f>($AB179*AK179+$AB180*AK180+$AB181*AK181)/100</f>
        <v>520</v>
      </c>
      <c r="BO179">
        <f t="shared" si="47"/>
        <v>0.20238249999999999</v>
      </c>
      <c r="BP179">
        <f t="shared" si="43"/>
        <v>0.37466500000000003</v>
      </c>
      <c r="BQ179">
        <f t="shared" si="48"/>
        <v>0.25980999999999999</v>
      </c>
      <c r="BR179">
        <f t="shared" si="49"/>
        <v>0.144955</v>
      </c>
      <c r="BS179" s="8">
        <f>($AB179*BO179+$AB180*BO180+$AB181*BO181)/100</f>
        <v>0.36221037499999992</v>
      </c>
      <c r="BT179" s="90">
        <f>($AB179*BP179+$AB180*BP180+$AB181*BP181)/100</f>
        <v>0.57786574999999996</v>
      </c>
      <c r="BU179" s="8">
        <f>($AB179*BQ179+$AB180*BQ180+$AB181*BQ181)/100</f>
        <v>0.43409549999999997</v>
      </c>
      <c r="BV179" s="90">
        <f>($AB179*BR179+$AB180*BR180+$AB181*BR181)/100</f>
        <v>0.29032525000000009</v>
      </c>
      <c r="BW179" s="4">
        <f t="shared" si="44"/>
        <v>456</v>
      </c>
    </row>
    <row r="180" spans="1:75" thickTop="1" thickBot="1" x14ac:dyDescent="0.3">
      <c r="A180" s="4">
        <v>456</v>
      </c>
      <c r="B180" s="93">
        <v>46</v>
      </c>
      <c r="C180" s="93">
        <v>6</v>
      </c>
      <c r="E180" s="1">
        <v>136</v>
      </c>
      <c r="F180" s="1">
        <v>10</v>
      </c>
      <c r="G180" s="3">
        <f t="shared" si="50"/>
        <v>126</v>
      </c>
      <c r="I180" s="2">
        <v>63</v>
      </c>
      <c r="J180" s="3">
        <f t="shared" si="52"/>
        <v>-30.9375</v>
      </c>
      <c r="K180" s="6">
        <f t="shared" si="51"/>
        <v>186</v>
      </c>
      <c r="O180" s="8">
        <v>0.192</v>
      </c>
      <c r="P180" s="9">
        <v>0.04</v>
      </c>
      <c r="R180" s="10">
        <v>70</v>
      </c>
      <c r="S180" s="11">
        <v>12</v>
      </c>
      <c r="T180" s="12">
        <v>600</v>
      </c>
      <c r="V180" s="7">
        <v>265</v>
      </c>
      <c r="W180" s="13">
        <f t="shared" si="38"/>
        <v>15.4186850625014</v>
      </c>
      <c r="Y180" s="56">
        <v>157</v>
      </c>
      <c r="Z180" s="13">
        <f t="shared" si="45"/>
        <v>0.16238665816991357</v>
      </c>
      <c r="AB180" s="72">
        <v>85</v>
      </c>
      <c r="AC180" s="72">
        <v>85</v>
      </c>
      <c r="AE180" s="5">
        <f t="shared" si="46"/>
        <v>456</v>
      </c>
      <c r="AG180" s="56"/>
      <c r="AK180" s="2">
        <v>500</v>
      </c>
      <c r="AL180" s="7">
        <f t="shared" si="39"/>
        <v>3.4999999999999996E-2</v>
      </c>
      <c r="AM180" s="8">
        <f t="shared" si="40"/>
        <v>0.157</v>
      </c>
      <c r="AN180" s="56">
        <f t="shared" si="41"/>
        <v>6.0000000000000001E-3</v>
      </c>
      <c r="AO180" s="9">
        <f t="shared" si="42"/>
        <v>3.4000000000000002E-2</v>
      </c>
      <c r="AX180" s="147"/>
      <c r="BO180">
        <f t="shared" si="47"/>
        <v>0.36857499999999999</v>
      </c>
      <c r="BP180">
        <f t="shared" si="43"/>
        <v>0.58014999999999994</v>
      </c>
      <c r="BQ180">
        <f t="shared" si="48"/>
        <v>0.43909999999999999</v>
      </c>
      <c r="BR180">
        <f t="shared" si="49"/>
        <v>0.29805000000000004</v>
      </c>
      <c r="BS180" s="8"/>
      <c r="BT180" s="90"/>
      <c r="BU180" s="8"/>
      <c r="BV180" s="90"/>
      <c r="BW180" s="4">
        <f t="shared" si="44"/>
        <v>456</v>
      </c>
    </row>
    <row r="181" spans="1:75" s="27" customFormat="1" thickTop="1" thickBot="1" x14ac:dyDescent="0.3">
      <c r="A181" s="21">
        <v>456</v>
      </c>
      <c r="B181" s="22">
        <v>46</v>
      </c>
      <c r="C181" s="22">
        <v>6</v>
      </c>
      <c r="D181" s="23"/>
      <c r="E181" s="24">
        <v>136</v>
      </c>
      <c r="F181" s="24">
        <v>10</v>
      </c>
      <c r="G181" s="25">
        <f t="shared" si="50"/>
        <v>126</v>
      </c>
      <c r="H181" s="23"/>
      <c r="I181" s="22">
        <v>116</v>
      </c>
      <c r="J181" s="3">
        <f t="shared" si="52"/>
        <v>-33.303571428571388</v>
      </c>
      <c r="K181" s="26">
        <f t="shared" si="51"/>
        <v>186</v>
      </c>
      <c r="L181" s="23"/>
      <c r="N181" s="23"/>
      <c r="O181" s="28">
        <v>0.17</v>
      </c>
      <c r="P181" s="29">
        <v>2.9000000000000001E-2</v>
      </c>
      <c r="Q181" s="23"/>
      <c r="R181" s="30">
        <v>90</v>
      </c>
      <c r="S181" s="31">
        <v>18</v>
      </c>
      <c r="T181" s="32">
        <v>700</v>
      </c>
      <c r="U181" s="23"/>
      <c r="V181" s="33">
        <v>235</v>
      </c>
      <c r="W181" s="75">
        <f t="shared" si="38"/>
        <v>15.57411928454902</v>
      </c>
      <c r="X181" s="5"/>
      <c r="Y181" s="55">
        <v>145</v>
      </c>
      <c r="Z181" s="13">
        <f t="shared" si="45"/>
        <v>0.1640016820771602</v>
      </c>
      <c r="AB181" s="27">
        <v>10</v>
      </c>
      <c r="AC181" s="27">
        <v>10</v>
      </c>
      <c r="AE181" s="5">
        <f t="shared" si="46"/>
        <v>456</v>
      </c>
      <c r="AF181" s="28"/>
      <c r="AG181" s="55"/>
      <c r="AH181" s="3"/>
      <c r="AJ181" s="5"/>
      <c r="AK181" s="2">
        <v>600</v>
      </c>
      <c r="AL181" s="7">
        <f t="shared" si="39"/>
        <v>5.3999999999999999E-2</v>
      </c>
      <c r="AM181" s="8">
        <f t="shared" si="40"/>
        <v>0.11600000000000002</v>
      </c>
      <c r="AN181" s="56">
        <f t="shared" si="41"/>
        <v>1.0799999999999999E-2</v>
      </c>
      <c r="AO181" s="9">
        <f t="shared" si="42"/>
        <v>1.8200000000000001E-2</v>
      </c>
      <c r="AP181" s="5"/>
      <c r="AQ181" s="91"/>
      <c r="AR181" s="5"/>
      <c r="AS181" s="96"/>
      <c r="AT181" s="5"/>
      <c r="AU181" s="30"/>
      <c r="AV181" s="31"/>
      <c r="AW181" s="32"/>
      <c r="AX181" s="147"/>
      <c r="BN181" s="5"/>
      <c r="BO181">
        <f t="shared" si="47"/>
        <v>0.38802500000000001</v>
      </c>
      <c r="BP181">
        <f t="shared" si="43"/>
        <v>0.66005000000000003</v>
      </c>
      <c r="BQ181">
        <f t="shared" si="48"/>
        <v>0.47870000000000001</v>
      </c>
      <c r="BR181">
        <f t="shared" si="49"/>
        <v>0.29735</v>
      </c>
      <c r="BS181" s="28"/>
      <c r="BT181" s="91"/>
      <c r="BU181" s="28"/>
      <c r="BV181" s="91"/>
      <c r="BW181" s="4">
        <f t="shared" si="44"/>
        <v>456</v>
      </c>
    </row>
    <row r="182" spans="1:75" thickTop="1" thickBot="1" x14ac:dyDescent="0.3">
      <c r="A182" s="15">
        <v>464</v>
      </c>
      <c r="B182" s="16">
        <v>47</v>
      </c>
      <c r="C182" s="16">
        <v>4</v>
      </c>
      <c r="D182" s="17"/>
      <c r="E182" s="1">
        <v>135</v>
      </c>
      <c r="F182" s="1">
        <v>10</v>
      </c>
      <c r="G182" s="18">
        <f t="shared" si="50"/>
        <v>125</v>
      </c>
      <c r="H182" s="17"/>
      <c r="I182" s="19">
        <v>10</v>
      </c>
      <c r="J182" s="3">
        <f t="shared" si="52"/>
        <v>-34.199999999999989</v>
      </c>
      <c r="K182" s="20">
        <f t="shared" si="51"/>
        <v>162</v>
      </c>
      <c r="L182" s="17"/>
      <c r="N182" s="17"/>
      <c r="O182" s="8">
        <v>0.16500000000000001</v>
      </c>
      <c r="P182" s="9">
        <v>2.9000000000000001E-2</v>
      </c>
      <c r="Q182" s="17"/>
      <c r="R182" s="10">
        <v>122</v>
      </c>
      <c r="S182" s="11">
        <v>24</v>
      </c>
      <c r="T182" s="12">
        <v>800</v>
      </c>
      <c r="U182" s="17"/>
      <c r="V182" s="7">
        <v>360</v>
      </c>
      <c r="W182" s="13">
        <f t="shared" si="38"/>
        <v>15.092308563562362</v>
      </c>
      <c r="Y182" s="56">
        <v>195</v>
      </c>
      <c r="Z182" s="13">
        <f t="shared" si="45"/>
        <v>0.15851878478024342</v>
      </c>
      <c r="AB182" s="72">
        <v>5</v>
      </c>
      <c r="AC182" s="72">
        <v>5</v>
      </c>
      <c r="AE182" s="5">
        <f t="shared" si="46"/>
        <v>464</v>
      </c>
      <c r="AF182" s="8">
        <f>(O182*AB182+O183*AB183+O184*AB184+O185*AB185)/100</f>
        <v>0.30235000000000001</v>
      </c>
      <c r="AG182" s="56">
        <f>(P182*AC182+P183*AC183+P184*AC184+P185*AC185)/100</f>
        <v>5.2949999999999997E-2</v>
      </c>
      <c r="AH182" s="3">
        <f>225-5.625*($B182-0.5)</f>
        <v>-36.5625</v>
      </c>
      <c r="AI182">
        <f>K182</f>
        <v>162</v>
      </c>
      <c r="AK182" s="2">
        <v>700</v>
      </c>
      <c r="AL182" s="7">
        <f t="shared" si="39"/>
        <v>8.539999999999999E-2</v>
      </c>
      <c r="AM182" s="8">
        <f t="shared" si="40"/>
        <v>7.9600000000000018E-2</v>
      </c>
      <c r="AN182" s="56">
        <f t="shared" si="41"/>
        <v>1.6799999999999999E-2</v>
      </c>
      <c r="AO182" s="9">
        <f t="shared" si="42"/>
        <v>1.2200000000000003E-2</v>
      </c>
      <c r="AQ182" s="90">
        <f>($AB182*AM182+$AB183*AM183+$AB184*AM184+$AB185*AM185)/100</f>
        <v>0.23047500000000004</v>
      </c>
      <c r="AS182" s="95">
        <f>($AB182*AO182+$AB183*AO183+$AB184*AO184+$AB185*AO185)/100</f>
        <v>2.0674999999999999E-2</v>
      </c>
      <c r="AU182" s="10">
        <f>($AB182*R182+$AB183*R183+$AB184*R184+$AB185*R185)/100</f>
        <v>90.4</v>
      </c>
      <c r="AV182" s="11">
        <f>($AB182*S182+$AB183*S183+$AB184*S184+$AB185*S185)/100</f>
        <v>40.299999999999997</v>
      </c>
      <c r="AW182" s="12">
        <f>($AB182*T182+$AB183*T183+$AB184*T184+$AB185*T185)/100</f>
        <v>995</v>
      </c>
      <c r="AX182" s="147">
        <f>($AB182*AK182+$AB183*AK183+$AB184*AK184)/100</f>
        <v>755</v>
      </c>
      <c r="BO182">
        <f t="shared" si="47"/>
        <v>0.44834499999999999</v>
      </c>
      <c r="BP182">
        <f t="shared" si="43"/>
        <v>0.81708999999999998</v>
      </c>
      <c r="BQ182">
        <f t="shared" si="48"/>
        <v>0.57125999999999999</v>
      </c>
      <c r="BR182">
        <f t="shared" si="49"/>
        <v>0.32543</v>
      </c>
      <c r="BS182" s="8">
        <f>($AB182*BO182+$AB183*BO183+$AB184*BO184+$AB185*BO185)/100</f>
        <v>0.50370900000000007</v>
      </c>
      <c r="BT182" s="90">
        <f>($AB182*BP182+$AB183*BP183+$AB184*BP184+$AB185*BP185)/100</f>
        <v>0.77694299999999994</v>
      </c>
      <c r="BU182" s="8">
        <f>($AB182*BQ182+$AB183*BQ183+$AB184*BQ184+$AB185*BQ185)/100</f>
        <v>0.59478700000000007</v>
      </c>
      <c r="BV182" s="90">
        <f>($AB182*BR182+$AB183*BR183+$AB184*BR184+$AB185*BR185)/100</f>
        <v>0.41263100000000003</v>
      </c>
      <c r="BW182" s="4">
        <f t="shared" si="44"/>
        <v>464</v>
      </c>
    </row>
    <row r="183" spans="1:75" thickTop="1" thickBot="1" x14ac:dyDescent="0.3">
      <c r="A183" s="4">
        <v>464</v>
      </c>
      <c r="B183" s="93">
        <v>47</v>
      </c>
      <c r="C183" s="93">
        <v>4</v>
      </c>
      <c r="E183" s="1">
        <v>135</v>
      </c>
      <c r="F183" s="1">
        <v>10</v>
      </c>
      <c r="G183" s="3">
        <f t="shared" si="50"/>
        <v>125</v>
      </c>
      <c r="I183" s="2">
        <v>63</v>
      </c>
      <c r="J183" s="3">
        <f t="shared" si="52"/>
        <v>-36.58499999999998</v>
      </c>
      <c r="K183" s="6">
        <f t="shared" si="51"/>
        <v>162</v>
      </c>
      <c r="O183" s="8">
        <v>0.223</v>
      </c>
      <c r="P183" s="9">
        <v>5.1999999999999998E-2</v>
      </c>
      <c r="R183" s="10">
        <v>90</v>
      </c>
      <c r="S183" s="11">
        <v>40</v>
      </c>
      <c r="T183" s="12">
        <v>1000</v>
      </c>
      <c r="V183" s="7">
        <v>390</v>
      </c>
      <c r="W183" s="13">
        <f t="shared" si="38"/>
        <v>15.021352323976217</v>
      </c>
      <c r="Y183" s="56">
        <v>262</v>
      </c>
      <c r="Z183" s="13">
        <f t="shared" si="45"/>
        <v>0.15432690592741685</v>
      </c>
      <c r="AB183" s="72">
        <v>45</v>
      </c>
      <c r="AC183" s="72">
        <v>45</v>
      </c>
      <c r="AE183" s="5">
        <f t="shared" si="46"/>
        <v>464</v>
      </c>
      <c r="AG183" s="56"/>
      <c r="AK183" s="2">
        <v>750</v>
      </c>
      <c r="AL183" s="7">
        <f t="shared" si="39"/>
        <v>6.7499999999999991E-2</v>
      </c>
      <c r="AM183" s="8">
        <f t="shared" si="40"/>
        <v>0.15550000000000003</v>
      </c>
      <c r="AN183" s="56">
        <f t="shared" si="41"/>
        <v>0.03</v>
      </c>
      <c r="AO183" s="9">
        <f t="shared" si="42"/>
        <v>2.1999999999999999E-2</v>
      </c>
      <c r="AX183" s="147"/>
      <c r="BO183">
        <f t="shared" si="47"/>
        <v>0.42752500000000004</v>
      </c>
      <c r="BP183">
        <f t="shared" si="43"/>
        <v>0.69955000000000001</v>
      </c>
      <c r="BQ183">
        <f t="shared" si="48"/>
        <v>0.51819999999999999</v>
      </c>
      <c r="BR183">
        <f t="shared" si="49"/>
        <v>0.33684999999999998</v>
      </c>
      <c r="BS183" s="8"/>
      <c r="BT183" s="90"/>
      <c r="BU183" s="8"/>
      <c r="BV183" s="90"/>
      <c r="BW183" s="4">
        <f t="shared" si="44"/>
        <v>464</v>
      </c>
    </row>
    <row r="184" spans="1:75" thickTop="1" thickBot="1" x14ac:dyDescent="0.3">
      <c r="A184" s="4">
        <v>464</v>
      </c>
      <c r="B184" s="93">
        <v>47</v>
      </c>
      <c r="C184" s="93">
        <v>4</v>
      </c>
      <c r="E184" s="1">
        <v>135</v>
      </c>
      <c r="F184" s="1">
        <v>10</v>
      </c>
      <c r="G184" s="3">
        <f t="shared" si="50"/>
        <v>125</v>
      </c>
      <c r="I184" s="2">
        <v>115</v>
      </c>
      <c r="J184" s="3">
        <f t="shared" si="52"/>
        <v>-38.925000000000011</v>
      </c>
      <c r="K184" s="6">
        <f t="shared" si="51"/>
        <v>162</v>
      </c>
      <c r="O184" s="8">
        <v>0.38200000000000001</v>
      </c>
      <c r="P184" s="9">
        <v>5.8999999999999997E-2</v>
      </c>
      <c r="R184" s="10">
        <v>84</v>
      </c>
      <c r="S184" s="11">
        <v>45</v>
      </c>
      <c r="T184" s="12">
        <v>1000</v>
      </c>
      <c r="V184" s="7">
        <v>553</v>
      </c>
      <c r="W184" s="13">
        <f t="shared" si="38"/>
        <v>14.767639711211292</v>
      </c>
      <c r="Y184" s="56">
        <v>319</v>
      </c>
      <c r="Z184" s="13">
        <f t="shared" si="45"/>
        <v>0.15210126967992252</v>
      </c>
      <c r="AB184" s="72">
        <v>45</v>
      </c>
      <c r="AC184" s="72">
        <v>45</v>
      </c>
      <c r="AD184">
        <v>115</v>
      </c>
      <c r="AE184" s="5">
        <f t="shared" si="46"/>
        <v>464</v>
      </c>
      <c r="AG184" s="56"/>
      <c r="AK184" s="2">
        <v>850</v>
      </c>
      <c r="AL184" s="7">
        <f t="shared" si="39"/>
        <v>7.1399999999999991E-2</v>
      </c>
      <c r="AM184" s="8">
        <f t="shared" si="40"/>
        <v>0.31059999999999999</v>
      </c>
      <c r="AN184" s="56">
        <f t="shared" si="41"/>
        <v>3.8249999999999999E-2</v>
      </c>
      <c r="AO184" s="9">
        <f t="shared" si="42"/>
        <v>2.0749999999999998E-2</v>
      </c>
      <c r="AX184" s="147"/>
      <c r="BO184">
        <f t="shared" si="47"/>
        <v>0.56449000000000005</v>
      </c>
      <c r="BP184">
        <f t="shared" si="43"/>
        <v>0.81838</v>
      </c>
      <c r="BQ184">
        <f t="shared" si="48"/>
        <v>0.64912000000000003</v>
      </c>
      <c r="BR184">
        <f t="shared" si="49"/>
        <v>0.47986000000000001</v>
      </c>
      <c r="BS184" s="8"/>
      <c r="BT184" s="90"/>
      <c r="BU184" s="8"/>
      <c r="BV184" s="90"/>
      <c r="BW184" s="4">
        <f t="shared" si="44"/>
        <v>464</v>
      </c>
    </row>
    <row r="185" spans="1:75" s="27" customFormat="1" thickTop="1" thickBot="1" x14ac:dyDescent="0.3">
      <c r="A185" s="21">
        <v>464</v>
      </c>
      <c r="B185" s="22">
        <v>47</v>
      </c>
      <c r="C185" s="22">
        <v>4</v>
      </c>
      <c r="D185" s="23"/>
      <c r="E185" s="24">
        <v>135</v>
      </c>
      <c r="F185" s="24">
        <v>10</v>
      </c>
      <c r="G185" s="25">
        <f t="shared" si="50"/>
        <v>125</v>
      </c>
      <c r="H185" s="23"/>
      <c r="I185" s="22">
        <v>115</v>
      </c>
      <c r="J185" s="3">
        <f t="shared" si="52"/>
        <v>-38.925000000000011</v>
      </c>
      <c r="K185" s="26">
        <f t="shared" si="51"/>
        <v>162</v>
      </c>
      <c r="L185" s="23"/>
      <c r="N185" s="23"/>
      <c r="O185" s="28">
        <v>0.437</v>
      </c>
      <c r="P185" s="29">
        <v>3.1E-2</v>
      </c>
      <c r="Q185" s="23"/>
      <c r="R185" s="30">
        <v>120</v>
      </c>
      <c r="S185" s="31">
        <v>17</v>
      </c>
      <c r="T185" s="32">
        <v>1100</v>
      </c>
      <c r="U185" s="23"/>
      <c r="V185" s="33">
        <v>186</v>
      </c>
      <c r="W185" s="75">
        <f t="shared" si="38"/>
        <v>15.929954201447508</v>
      </c>
      <c r="X185" s="5"/>
      <c r="Y185" s="55">
        <v>41</v>
      </c>
      <c r="Z185" s="13">
        <f t="shared" si="45"/>
        <v>0.21068992359018746</v>
      </c>
      <c r="AB185" s="27">
        <v>5</v>
      </c>
      <c r="AC185" s="27">
        <v>5</v>
      </c>
      <c r="AD185" s="27" t="s">
        <v>30</v>
      </c>
      <c r="AE185" s="5">
        <f t="shared" si="46"/>
        <v>464</v>
      </c>
      <c r="AF185" s="28"/>
      <c r="AG185" s="55"/>
      <c r="AH185" s="3"/>
      <c r="AJ185" s="5"/>
      <c r="AK185" s="2">
        <v>850</v>
      </c>
      <c r="AL185" s="7">
        <f t="shared" si="39"/>
        <v>0.10199999999999999</v>
      </c>
      <c r="AM185" s="8">
        <f t="shared" si="40"/>
        <v>0.33500000000000002</v>
      </c>
      <c r="AN185" s="56">
        <f t="shared" si="41"/>
        <v>1.4449999999999999E-2</v>
      </c>
      <c r="AO185" s="9">
        <f t="shared" si="42"/>
        <v>1.6550000000000002E-2</v>
      </c>
      <c r="AP185" s="5"/>
      <c r="AQ185" s="91"/>
      <c r="AR185" s="5"/>
      <c r="AS185" s="96"/>
      <c r="AT185" s="5"/>
      <c r="AU185" s="30"/>
      <c r="AV185" s="31"/>
      <c r="AW185" s="32"/>
      <c r="AX185" s="147"/>
      <c r="BN185" s="5"/>
      <c r="BO185">
        <f t="shared" si="47"/>
        <v>0.69769999999999999</v>
      </c>
      <c r="BP185">
        <f t="shared" si="43"/>
        <v>1.0604</v>
      </c>
      <c r="BQ185">
        <f t="shared" si="48"/>
        <v>0.81859999999999999</v>
      </c>
      <c r="BR185">
        <f t="shared" si="49"/>
        <v>0.57679999999999998</v>
      </c>
      <c r="BS185" s="28"/>
      <c r="BT185" s="91"/>
      <c r="BU185" s="28"/>
      <c r="BV185" s="91"/>
      <c r="BW185" s="4">
        <f t="shared" si="44"/>
        <v>464</v>
      </c>
    </row>
    <row r="186" spans="1:75" thickTop="1" thickBot="1" x14ac:dyDescent="0.3">
      <c r="A186" s="15">
        <v>465</v>
      </c>
      <c r="B186" s="16">
        <v>47</v>
      </c>
      <c r="C186" s="16">
        <v>5</v>
      </c>
      <c r="D186" s="17"/>
      <c r="E186" s="1">
        <v>136</v>
      </c>
      <c r="F186" s="1">
        <v>14</v>
      </c>
      <c r="G186" s="18">
        <f t="shared" si="50"/>
        <v>122</v>
      </c>
      <c r="H186" s="17"/>
      <c r="I186" s="16">
        <v>9</v>
      </c>
      <c r="J186" s="3">
        <f t="shared" si="52"/>
        <v>-34.164959016393425</v>
      </c>
      <c r="K186" s="20">
        <f t="shared" si="51"/>
        <v>174</v>
      </c>
      <c r="L186" s="17"/>
      <c r="N186" s="17"/>
      <c r="O186" s="8">
        <v>0.13100000000000001</v>
      </c>
      <c r="P186" s="9">
        <v>4.2000000000000003E-2</v>
      </c>
      <c r="Q186" s="17"/>
      <c r="R186" s="10">
        <v>121</v>
      </c>
      <c r="S186" s="11">
        <v>15</v>
      </c>
      <c r="T186" s="12">
        <v>700</v>
      </c>
      <c r="U186" s="17"/>
      <c r="V186" s="7">
        <v>200</v>
      </c>
      <c r="W186" s="13">
        <f t="shared" si="38"/>
        <v>15.811388300841896</v>
      </c>
      <c r="Y186" s="56">
        <v>166</v>
      </c>
      <c r="Z186" s="13">
        <f t="shared" si="45"/>
        <v>0.16131985738135951</v>
      </c>
      <c r="AB186">
        <f t="shared" ref="AB186:AC191" si="53">100/6</f>
        <v>16.666666666666668</v>
      </c>
      <c r="AC186">
        <f t="shared" si="53"/>
        <v>16.666666666666668</v>
      </c>
      <c r="AE186" s="5">
        <f t="shared" si="46"/>
        <v>465</v>
      </c>
      <c r="AF186" s="8">
        <f>(O186*AB186+O187*AB187+O188*AB188+O189*AB189+O190*AB190+O191*AB191)/100</f>
        <v>0.17150000000000001</v>
      </c>
      <c r="AG186" s="56">
        <f>(P186*AC186+P187*AC187+P188*AC188+P189*AC189+P190*AC190+P191*AC191)/100</f>
        <v>4.1000000000000009E-2</v>
      </c>
      <c r="AH186" s="3">
        <f>225-5.625*($B186-0.5)</f>
        <v>-36.5625</v>
      </c>
      <c r="AI186">
        <f>K186</f>
        <v>174</v>
      </c>
      <c r="AK186" s="2">
        <v>700</v>
      </c>
      <c r="AL186" s="7">
        <f t="shared" si="39"/>
        <v>8.4699999999999998E-2</v>
      </c>
      <c r="AM186" s="8">
        <f t="shared" si="40"/>
        <v>4.6300000000000008E-2</v>
      </c>
      <c r="AN186" s="56">
        <f t="shared" si="41"/>
        <v>1.0499999999999999E-2</v>
      </c>
      <c r="AO186" s="9">
        <f t="shared" si="42"/>
        <v>3.15E-2</v>
      </c>
      <c r="AQ186" s="90">
        <f>($AB186*AM186+$AB187*AM187+$AB188*AM188+$AB189*AM189+$AB190*AM190+$AB191*AM191)/100</f>
        <v>9.4716666666666671E-2</v>
      </c>
      <c r="AS186" s="95">
        <f>($AB186*AO186+$AB187*AO187+$AB188*AO188+$AB189*AO189+$AB190*AO190+$AB191*AO191)/100</f>
        <v>2.3908333333333337E-2</v>
      </c>
      <c r="AU186" s="10">
        <f>($AB186*R186+$AB187*R187+$AB188*R188+$AB189*R189+$AB190*R190+$AB191*R191)/100</f>
        <v>103.16666666666666</v>
      </c>
      <c r="AV186" s="11">
        <f>($AB186*S186+$AB187*S187+$AB188*S188+$AB189*S189+$AB190*S190+$AB191*S191)/100</f>
        <v>23</v>
      </c>
      <c r="AW186" s="12">
        <f>($AB186*T186+$AB187*T187+$AB188*T188+$AB189*T189+$AB190*T190+$AB191*T191)/100</f>
        <v>833.33333333333348</v>
      </c>
      <c r="AX186" s="147">
        <f>($AB186*AK186+$AB187*AK187+$AB188*AK188+$AB189*AK189+$AB190*AK190+$AB191*AK191)/100</f>
        <v>741.66666666666674</v>
      </c>
      <c r="BO186">
        <f t="shared" si="47"/>
        <v>0.41202250000000001</v>
      </c>
      <c r="BP186">
        <f t="shared" si="43"/>
        <v>0.77774500000000002</v>
      </c>
      <c r="BQ186">
        <f t="shared" si="48"/>
        <v>0.53393000000000002</v>
      </c>
      <c r="BR186">
        <f t="shared" si="49"/>
        <v>0.29011500000000001</v>
      </c>
      <c r="BS186" s="8">
        <f>($AB186*BO186+$AB187*BO187+$AB188*BO188+$AB189*BO189+$AB190*BO190+$AB191*BO191)/100</f>
        <v>0.40653791666666672</v>
      </c>
      <c r="BT186" s="90">
        <f>($AB186*BP186+$AB187*BP187+$AB188*BP188+$AB189*BP189+$AB190*BP190+$AB191*BP191)/100</f>
        <v>0.71835916666666666</v>
      </c>
      <c r="BU186" s="8">
        <f>($AB186*BQ186+$AB187*BQ187+$AB188*BQ188+$AB189*BQ189+$AB190*BQ190+$AB191*BQ191)/100</f>
        <v>0.51047833333333326</v>
      </c>
      <c r="BV186" s="90">
        <f>($AB186*BR186+$AB187*BR187+$AB188*BR188+$AB189*BR189+$AB190*BR190+$AB191*BR191)/100</f>
        <v>0.30259750000000002</v>
      </c>
      <c r="BW186" s="4">
        <f t="shared" si="44"/>
        <v>465</v>
      </c>
    </row>
    <row r="187" spans="1:75" thickTop="1" thickBot="1" x14ac:dyDescent="0.3">
      <c r="A187" s="4">
        <v>465</v>
      </c>
      <c r="B187" s="93">
        <v>47</v>
      </c>
      <c r="C187" s="93">
        <v>5</v>
      </c>
      <c r="E187" s="1">
        <v>136</v>
      </c>
      <c r="F187" s="1">
        <v>14</v>
      </c>
      <c r="G187" s="3">
        <f t="shared" si="50"/>
        <v>122</v>
      </c>
      <c r="I187" s="2">
        <v>29</v>
      </c>
      <c r="J187" s="3">
        <f t="shared" si="52"/>
        <v>-35.08709016393442</v>
      </c>
      <c r="K187" s="6">
        <f t="shared" si="51"/>
        <v>174</v>
      </c>
      <c r="O187" s="8">
        <v>0.14799999999999999</v>
      </c>
      <c r="P187" s="9">
        <v>4.1000000000000002E-2</v>
      </c>
      <c r="R187" s="10">
        <v>103</v>
      </c>
      <c r="S187" s="11">
        <v>20</v>
      </c>
      <c r="T187" s="12">
        <v>850</v>
      </c>
      <c r="V187" s="7">
        <v>174</v>
      </c>
      <c r="W187" s="13">
        <f t="shared" si="38"/>
        <v>16.045911141715081</v>
      </c>
      <c r="Y187" s="56">
        <v>128</v>
      </c>
      <c r="Z187" s="13">
        <f t="shared" si="45"/>
        <v>0.16677080080157919</v>
      </c>
      <c r="AB187">
        <f t="shared" si="53"/>
        <v>16.666666666666668</v>
      </c>
      <c r="AC187">
        <f t="shared" si="53"/>
        <v>16.666666666666668</v>
      </c>
      <c r="AE187" s="5">
        <f t="shared" si="46"/>
        <v>465</v>
      </c>
      <c r="AG187" s="56"/>
      <c r="AK187" s="2">
        <v>700</v>
      </c>
      <c r="AL187" s="7">
        <f t="shared" si="39"/>
        <v>7.2099999999999997E-2</v>
      </c>
      <c r="AM187" s="8">
        <f t="shared" si="40"/>
        <v>7.5899999999999995E-2</v>
      </c>
      <c r="AN187" s="56">
        <f t="shared" si="41"/>
        <v>1.3999999999999999E-2</v>
      </c>
      <c r="AO187" s="9">
        <f t="shared" si="42"/>
        <v>2.7000000000000003E-2</v>
      </c>
      <c r="AX187" s="147"/>
      <c r="BO187">
        <f t="shared" si="47"/>
        <v>0.38721749999999999</v>
      </c>
      <c r="BP187">
        <f t="shared" si="43"/>
        <v>0.69853500000000002</v>
      </c>
      <c r="BQ187">
        <f t="shared" si="48"/>
        <v>0.49099000000000004</v>
      </c>
      <c r="BR187">
        <f t="shared" si="49"/>
        <v>0.283445</v>
      </c>
      <c r="BS187" s="8"/>
      <c r="BT187" s="90"/>
      <c r="BU187" s="8"/>
      <c r="BV187" s="90"/>
      <c r="BW187" s="4">
        <f t="shared" si="44"/>
        <v>465</v>
      </c>
    </row>
    <row r="188" spans="1:75" thickTop="1" thickBot="1" x14ac:dyDescent="0.3">
      <c r="A188" s="4">
        <v>465</v>
      </c>
      <c r="B188" s="2">
        <v>47</v>
      </c>
      <c r="C188" s="2">
        <v>5</v>
      </c>
      <c r="E188" s="1">
        <v>136</v>
      </c>
      <c r="F188" s="1">
        <v>14</v>
      </c>
      <c r="G188" s="3">
        <f t="shared" si="50"/>
        <v>122</v>
      </c>
      <c r="I188" s="2">
        <v>49</v>
      </c>
      <c r="J188" s="3">
        <f t="shared" si="52"/>
        <v>-36.009221311475414</v>
      </c>
      <c r="K188" s="6">
        <f t="shared" si="51"/>
        <v>174</v>
      </c>
      <c r="O188" s="8">
        <v>0.161</v>
      </c>
      <c r="P188" s="9">
        <v>0.04</v>
      </c>
      <c r="R188" s="10">
        <v>102</v>
      </c>
      <c r="S188" s="11">
        <v>19</v>
      </c>
      <c r="T188" s="12">
        <v>750</v>
      </c>
      <c r="V188" s="7">
        <v>178</v>
      </c>
      <c r="W188" s="13">
        <f t="shared" si="38"/>
        <v>16.005616991572019</v>
      </c>
      <c r="Y188" s="56">
        <v>135</v>
      </c>
      <c r="Z188" s="13">
        <f t="shared" si="45"/>
        <v>0.16555182695279266</v>
      </c>
      <c r="AB188">
        <f t="shared" si="53"/>
        <v>16.666666666666668</v>
      </c>
      <c r="AC188">
        <f t="shared" si="53"/>
        <v>16.666666666666668</v>
      </c>
      <c r="AE188" s="5">
        <f t="shared" si="46"/>
        <v>465</v>
      </c>
      <c r="AG188" s="56"/>
      <c r="AK188" s="2">
        <v>800</v>
      </c>
      <c r="AL188" s="7">
        <f t="shared" si="39"/>
        <v>8.1599999999999992E-2</v>
      </c>
      <c r="AM188" s="8">
        <f t="shared" si="40"/>
        <v>7.9400000000000012E-2</v>
      </c>
      <c r="AN188" s="56">
        <f t="shared" si="41"/>
        <v>1.52E-2</v>
      </c>
      <c r="AO188" s="9">
        <f t="shared" si="42"/>
        <v>2.4800000000000003E-2</v>
      </c>
      <c r="AX188" s="147"/>
      <c r="BO188">
        <f t="shared" si="47"/>
        <v>0.38769500000000001</v>
      </c>
      <c r="BP188">
        <f t="shared" si="43"/>
        <v>0.69599</v>
      </c>
      <c r="BQ188">
        <f t="shared" si="48"/>
        <v>0.49046000000000001</v>
      </c>
      <c r="BR188">
        <f t="shared" si="49"/>
        <v>0.28493000000000002</v>
      </c>
      <c r="BS188" s="8"/>
      <c r="BT188" s="90"/>
      <c r="BU188" s="8"/>
      <c r="BV188" s="90"/>
      <c r="BW188" s="4">
        <f t="shared" si="44"/>
        <v>465</v>
      </c>
    </row>
    <row r="189" spans="1:75" thickTop="1" thickBot="1" x14ac:dyDescent="0.3">
      <c r="A189" s="4">
        <v>465</v>
      </c>
      <c r="B189" s="93">
        <v>47</v>
      </c>
      <c r="C189" s="93">
        <v>5</v>
      </c>
      <c r="E189" s="1">
        <v>136</v>
      </c>
      <c r="F189" s="1">
        <v>14</v>
      </c>
      <c r="G189" s="3">
        <f t="shared" si="50"/>
        <v>122</v>
      </c>
      <c r="I189" s="2">
        <v>69</v>
      </c>
      <c r="J189" s="3">
        <f t="shared" si="52"/>
        <v>-36.931352459016409</v>
      </c>
      <c r="K189" s="6">
        <f t="shared" si="51"/>
        <v>174</v>
      </c>
      <c r="O189" s="8">
        <v>0.158</v>
      </c>
      <c r="P189" s="9">
        <v>4.2999999999999997E-2</v>
      </c>
      <c r="R189" s="10">
        <v>102</v>
      </c>
      <c r="S189" s="11">
        <v>27</v>
      </c>
      <c r="T189" s="12">
        <v>800</v>
      </c>
      <c r="V189" s="7">
        <v>161</v>
      </c>
      <c r="W189" s="13">
        <f t="shared" si="38"/>
        <v>16.189867239796506</v>
      </c>
      <c r="Y189" s="56">
        <v>165</v>
      </c>
      <c r="Z189" s="13">
        <f t="shared" si="45"/>
        <v>0.16143297699232975</v>
      </c>
      <c r="AB189">
        <f t="shared" si="53"/>
        <v>16.666666666666668</v>
      </c>
      <c r="AC189">
        <f t="shared" si="53"/>
        <v>16.666666666666668</v>
      </c>
      <c r="AE189" s="5">
        <f t="shared" si="46"/>
        <v>465</v>
      </c>
      <c r="AG189" s="56"/>
      <c r="AK189" s="2">
        <v>750</v>
      </c>
      <c r="AL189" s="7">
        <f t="shared" si="39"/>
        <v>7.6499999999999999E-2</v>
      </c>
      <c r="AM189" s="8">
        <f t="shared" si="40"/>
        <v>8.1500000000000003E-2</v>
      </c>
      <c r="AN189" s="56">
        <f t="shared" si="41"/>
        <v>2.0250000000000001E-2</v>
      </c>
      <c r="AO189" s="9">
        <f t="shared" si="42"/>
        <v>2.2749999999999996E-2</v>
      </c>
      <c r="AX189" s="147"/>
      <c r="BO189">
        <f t="shared" si="47"/>
        <v>0.389795</v>
      </c>
      <c r="BP189">
        <f t="shared" si="43"/>
        <v>0.69808999999999999</v>
      </c>
      <c r="BQ189">
        <f t="shared" si="48"/>
        <v>0.49256</v>
      </c>
      <c r="BR189">
        <f t="shared" si="49"/>
        <v>0.28703000000000001</v>
      </c>
      <c r="BS189" s="8"/>
      <c r="BT189" s="90"/>
      <c r="BU189" s="8"/>
      <c r="BV189" s="90"/>
      <c r="BW189" s="4">
        <f t="shared" si="44"/>
        <v>465</v>
      </c>
    </row>
    <row r="190" spans="1:75" thickTop="1" thickBot="1" x14ac:dyDescent="0.3">
      <c r="A190" s="4">
        <v>465</v>
      </c>
      <c r="B190" s="93">
        <v>47</v>
      </c>
      <c r="C190" s="93">
        <v>5</v>
      </c>
      <c r="E190" s="1">
        <v>136</v>
      </c>
      <c r="F190" s="1">
        <v>14</v>
      </c>
      <c r="G190" s="3">
        <f t="shared" si="50"/>
        <v>122</v>
      </c>
      <c r="I190" s="2">
        <v>89</v>
      </c>
      <c r="J190" s="3">
        <f t="shared" si="52"/>
        <v>-37.853483606557404</v>
      </c>
      <c r="K190" s="6">
        <f t="shared" si="51"/>
        <v>174</v>
      </c>
      <c r="O190" s="8">
        <v>0.245</v>
      </c>
      <c r="P190" s="9">
        <v>0.04</v>
      </c>
      <c r="R190" s="10">
        <v>121</v>
      </c>
      <c r="S190" s="11">
        <v>27</v>
      </c>
      <c r="T190" s="12">
        <v>1000</v>
      </c>
      <c r="V190" s="7">
        <v>278</v>
      </c>
      <c r="W190" s="13">
        <f t="shared" si="38"/>
        <v>15.361354856313383</v>
      </c>
      <c r="Y190" s="56">
        <v>130</v>
      </c>
      <c r="Z190" s="13">
        <f t="shared" si="45"/>
        <v>0.16641005886756874</v>
      </c>
      <c r="AB190">
        <f t="shared" si="53"/>
        <v>16.666666666666668</v>
      </c>
      <c r="AC190">
        <f t="shared" si="53"/>
        <v>16.666666666666668</v>
      </c>
      <c r="AE190" s="5">
        <f t="shared" si="46"/>
        <v>465</v>
      </c>
      <c r="AG190" s="56"/>
      <c r="AK190" s="2">
        <v>800</v>
      </c>
      <c r="AL190" s="7">
        <f t="shared" si="39"/>
        <v>9.6799999999999997E-2</v>
      </c>
      <c r="AM190" s="8">
        <f t="shared" si="40"/>
        <v>0.1482</v>
      </c>
      <c r="AN190" s="56">
        <f t="shared" si="41"/>
        <v>2.1599999999999998E-2</v>
      </c>
      <c r="AO190" s="9">
        <f t="shared" si="42"/>
        <v>1.8400000000000003E-2</v>
      </c>
      <c r="AX190" s="147"/>
      <c r="BO190">
        <f t="shared" si="47"/>
        <v>0.51392250000000006</v>
      </c>
      <c r="BP190">
        <f t="shared" si="43"/>
        <v>0.87964500000000001</v>
      </c>
      <c r="BQ190">
        <f t="shared" si="48"/>
        <v>0.63583000000000001</v>
      </c>
      <c r="BR190">
        <f t="shared" si="49"/>
        <v>0.392015</v>
      </c>
      <c r="BS190" s="8"/>
      <c r="BT190" s="90"/>
      <c r="BU190" s="8"/>
      <c r="BV190" s="90"/>
      <c r="BW190" s="4">
        <f t="shared" si="44"/>
        <v>465</v>
      </c>
    </row>
    <row r="191" spans="1:75" s="27" customFormat="1" thickTop="1" thickBot="1" x14ac:dyDescent="0.3">
      <c r="A191" s="21">
        <v>465</v>
      </c>
      <c r="B191" s="22">
        <v>47</v>
      </c>
      <c r="C191" s="22">
        <v>5</v>
      </c>
      <c r="D191" s="23"/>
      <c r="E191" s="24">
        <v>136</v>
      </c>
      <c r="F191" s="24">
        <v>14</v>
      </c>
      <c r="G191" s="25">
        <f t="shared" si="50"/>
        <v>122</v>
      </c>
      <c r="H191" s="23"/>
      <c r="I191" s="22">
        <v>109</v>
      </c>
      <c r="J191" s="3">
        <f t="shared" si="52"/>
        <v>-38.775614754098399</v>
      </c>
      <c r="K191" s="26">
        <f t="shared" si="51"/>
        <v>174</v>
      </c>
      <c r="L191" s="23"/>
      <c r="N191" s="23"/>
      <c r="O191" s="28">
        <v>0.186</v>
      </c>
      <c r="P191" s="29">
        <v>0.04</v>
      </c>
      <c r="Q191" s="23"/>
      <c r="R191" s="30">
        <v>70</v>
      </c>
      <c r="S191" s="31">
        <v>30</v>
      </c>
      <c r="T191" s="32">
        <v>900</v>
      </c>
      <c r="U191" s="23"/>
      <c r="V191" s="33">
        <v>176</v>
      </c>
      <c r="W191" s="75">
        <f t="shared" si="38"/>
        <v>16.025547785276544</v>
      </c>
      <c r="X191" s="5"/>
      <c r="Y191" s="55">
        <v>127</v>
      </c>
      <c r="Z191" s="13">
        <f t="shared" si="45"/>
        <v>0.16695513094251252</v>
      </c>
      <c r="AB191" s="27">
        <f t="shared" si="53"/>
        <v>16.666666666666668</v>
      </c>
      <c r="AC191" s="27">
        <f t="shared" si="53"/>
        <v>16.666666666666668</v>
      </c>
      <c r="AE191" s="5">
        <f t="shared" si="46"/>
        <v>465</v>
      </c>
      <c r="AF191" s="28"/>
      <c r="AG191" s="55"/>
      <c r="AH191" s="3"/>
      <c r="AJ191" s="5"/>
      <c r="AK191" s="2">
        <v>700</v>
      </c>
      <c r="AL191" s="7">
        <f t="shared" si="39"/>
        <v>4.8999999999999995E-2</v>
      </c>
      <c r="AM191" s="8">
        <f t="shared" si="40"/>
        <v>0.13700000000000001</v>
      </c>
      <c r="AN191" s="56">
        <f t="shared" si="41"/>
        <v>2.0999999999999998E-2</v>
      </c>
      <c r="AO191" s="9">
        <f t="shared" si="42"/>
        <v>1.9000000000000003E-2</v>
      </c>
      <c r="AP191" s="5"/>
      <c r="AQ191" s="91"/>
      <c r="AR191" s="5"/>
      <c r="AS191" s="96"/>
      <c r="AT191" s="5"/>
      <c r="AU191" s="30"/>
      <c r="AV191" s="31"/>
      <c r="AW191" s="32"/>
      <c r="AX191" s="147"/>
      <c r="BN191" s="5"/>
      <c r="BO191">
        <f t="shared" si="47"/>
        <v>0.34857499999999997</v>
      </c>
      <c r="BP191">
        <f t="shared" si="43"/>
        <v>0.56014999999999993</v>
      </c>
      <c r="BQ191">
        <f t="shared" si="48"/>
        <v>0.41910000000000003</v>
      </c>
      <c r="BR191">
        <f t="shared" si="49"/>
        <v>0.27805000000000002</v>
      </c>
      <c r="BS191" s="28"/>
      <c r="BT191" s="91"/>
      <c r="BU191" s="28"/>
      <c r="BV191" s="91"/>
      <c r="BW191" s="4">
        <f t="shared" si="44"/>
        <v>465</v>
      </c>
    </row>
    <row r="192" spans="1:75" thickTop="1" thickBot="1" x14ac:dyDescent="0.3">
      <c r="A192" s="15">
        <v>466</v>
      </c>
      <c r="B192" s="16">
        <v>47</v>
      </c>
      <c r="C192" s="16">
        <v>6</v>
      </c>
      <c r="D192" s="17"/>
      <c r="E192" s="1">
        <v>134</v>
      </c>
      <c r="F192" s="1">
        <v>16</v>
      </c>
      <c r="G192" s="18">
        <f t="shared" si="50"/>
        <v>118</v>
      </c>
      <c r="H192" s="17"/>
      <c r="I192" s="19">
        <v>10</v>
      </c>
      <c r="J192" s="3">
        <f t="shared" si="52"/>
        <v>-34.2266949152542</v>
      </c>
      <c r="K192" s="20">
        <f t="shared" si="51"/>
        <v>186</v>
      </c>
      <c r="L192" s="17"/>
      <c r="N192" s="17"/>
      <c r="O192" s="8">
        <v>8.1000000000000003E-2</v>
      </c>
      <c r="P192" s="9">
        <v>3.5000000000000003E-2</v>
      </c>
      <c r="Q192" s="17"/>
      <c r="R192" s="10">
        <v>76</v>
      </c>
      <c r="S192" s="11">
        <v>22</v>
      </c>
      <c r="T192" s="12">
        <v>600</v>
      </c>
      <c r="U192" s="17"/>
      <c r="V192" s="7">
        <v>139</v>
      </c>
      <c r="W192" s="13">
        <f t="shared" si="38"/>
        <v>16.490677549547971</v>
      </c>
      <c r="Y192" s="56">
        <v>173</v>
      </c>
      <c r="Z192" s="13">
        <f t="shared" si="45"/>
        <v>0.16056259471249601</v>
      </c>
      <c r="AB192">
        <v>10</v>
      </c>
      <c r="AC192">
        <v>10</v>
      </c>
      <c r="AD192" t="s">
        <v>31</v>
      </c>
      <c r="AE192" s="5">
        <f t="shared" si="46"/>
        <v>466</v>
      </c>
      <c r="AF192" s="8">
        <f>(O192*AB192+O193*AB193+O194*AB194)/100</f>
        <v>0.11110000000000002</v>
      </c>
      <c r="AG192" s="56">
        <f>(P192*AC192+P193*AC193+P194*AC194)/100</f>
        <v>3.5000000000000003E-2</v>
      </c>
      <c r="AH192" s="3">
        <f>225-5.625*($B192-0.5)</f>
        <v>-36.5625</v>
      </c>
      <c r="AI192">
        <f>K192</f>
        <v>186</v>
      </c>
      <c r="AK192" s="2">
        <v>400</v>
      </c>
      <c r="AL192" s="7">
        <f t="shared" si="39"/>
        <v>3.04E-2</v>
      </c>
      <c r="AM192" s="8">
        <f t="shared" si="40"/>
        <v>5.0600000000000006E-2</v>
      </c>
      <c r="AN192" s="56">
        <f t="shared" si="41"/>
        <v>8.7999999999999988E-3</v>
      </c>
      <c r="AO192" s="9">
        <f t="shared" si="42"/>
        <v>2.6200000000000005E-2</v>
      </c>
      <c r="AQ192" s="90">
        <f>($AB192*AM192+$AB193*AM193+$AB194*AM194)/100</f>
        <v>5.886000000000001E-2</v>
      </c>
      <c r="AS192" s="95">
        <f>($AB192*AO192+$AB193*AO193+$AB194*AO194)/100</f>
        <v>2.5849999999999998E-2</v>
      </c>
      <c r="AU192" s="10">
        <f>($AB192*R192+$AB193*R193+$AB194*R194)/100</f>
        <v>101.2</v>
      </c>
      <c r="AV192" s="11">
        <f>($AB192*S192+$AB193*S193+$AB194*S194)/100</f>
        <v>17.899999999999999</v>
      </c>
      <c r="AW192" s="12">
        <f>($AB192*T192+$AB193*T193+$AB194*T194)/100</f>
        <v>700</v>
      </c>
      <c r="AX192" s="147">
        <f>($AB192*AK192+$AB193*AK193+$AB194*AK194)/100</f>
        <v>510</v>
      </c>
      <c r="BO192">
        <f t="shared" si="47"/>
        <v>0.28031</v>
      </c>
      <c r="BP192">
        <f t="shared" si="43"/>
        <v>0.51002000000000003</v>
      </c>
      <c r="BQ192">
        <f t="shared" si="48"/>
        <v>0.35688000000000003</v>
      </c>
      <c r="BR192">
        <f t="shared" si="49"/>
        <v>0.20374</v>
      </c>
      <c r="BS192" s="8">
        <f>($AB192*BO192+$AB193*BO193+$AB194*BO194)/100</f>
        <v>0.36473700000000003</v>
      </c>
      <c r="BT192" s="90">
        <f>($AB192*BP192+$AB193*BP193+$AB194*BP194)/100</f>
        <v>0.67061400000000004</v>
      </c>
      <c r="BU192" s="8">
        <f>($AB192*BQ192+$AB193*BQ193+$AB194*BQ194)/100</f>
        <v>0.466696</v>
      </c>
      <c r="BV192" s="90">
        <f>($AB192*BR192+$AB193*BR193+$AB194*BR194)/100</f>
        <v>0.26277800000000001</v>
      </c>
      <c r="BW192" s="4">
        <f t="shared" si="44"/>
        <v>466</v>
      </c>
    </row>
    <row r="193" spans="1:75" thickTop="1" thickBot="1" x14ac:dyDescent="0.3">
      <c r="A193" s="4">
        <v>466</v>
      </c>
      <c r="B193" s="93">
        <v>47</v>
      </c>
      <c r="C193" s="93">
        <v>6</v>
      </c>
      <c r="E193" s="1">
        <v>134</v>
      </c>
      <c r="F193" s="1">
        <v>16</v>
      </c>
      <c r="G193" s="3">
        <f t="shared" si="50"/>
        <v>118</v>
      </c>
      <c r="I193" s="2">
        <v>59</v>
      </c>
      <c r="J193" s="3">
        <f t="shared" si="52"/>
        <v>-36.5625</v>
      </c>
      <c r="K193" s="6">
        <f t="shared" si="51"/>
        <v>186</v>
      </c>
      <c r="O193" s="8">
        <v>0.108</v>
      </c>
      <c r="P193" s="9">
        <v>3.4000000000000002E-2</v>
      </c>
      <c r="R193" s="10">
        <v>102</v>
      </c>
      <c r="S193" s="11">
        <v>17</v>
      </c>
      <c r="T193" s="12">
        <v>700</v>
      </c>
      <c r="V193" s="7">
        <v>80</v>
      </c>
      <c r="W193" s="13">
        <f t="shared" si="38"/>
        <v>18.027756377319946</v>
      </c>
      <c r="Y193" s="56">
        <v>77</v>
      </c>
      <c r="Z193" s="13">
        <f t="shared" si="45"/>
        <v>0.18162327215148669</v>
      </c>
      <c r="AB193">
        <v>80</v>
      </c>
      <c r="AC193">
        <v>80</v>
      </c>
      <c r="AD193" t="s">
        <v>31</v>
      </c>
      <c r="AE193" s="5">
        <f t="shared" si="46"/>
        <v>466</v>
      </c>
      <c r="AG193" s="56"/>
      <c r="AK193" s="2">
        <v>500</v>
      </c>
      <c r="AL193" s="7">
        <f t="shared" si="39"/>
        <v>5.0999999999999997E-2</v>
      </c>
      <c r="AM193" s="8">
        <f t="shared" si="40"/>
        <v>5.7000000000000002E-2</v>
      </c>
      <c r="AN193" s="56">
        <f t="shared" si="41"/>
        <v>8.4999999999999989E-3</v>
      </c>
      <c r="AO193" s="9">
        <f t="shared" si="42"/>
        <v>2.5500000000000002E-2</v>
      </c>
      <c r="AX193" s="147"/>
      <c r="BO193">
        <f t="shared" si="47"/>
        <v>0.36529499999999998</v>
      </c>
      <c r="BP193">
        <f t="shared" si="43"/>
        <v>0.67359000000000002</v>
      </c>
      <c r="BQ193">
        <f t="shared" si="48"/>
        <v>0.46805999999999998</v>
      </c>
      <c r="BR193">
        <f t="shared" si="49"/>
        <v>0.26252999999999999</v>
      </c>
      <c r="BS193" s="8"/>
      <c r="BT193" s="90"/>
      <c r="BU193" s="8"/>
      <c r="BV193" s="90"/>
      <c r="BW193" s="4">
        <f t="shared" si="44"/>
        <v>466</v>
      </c>
    </row>
    <row r="194" spans="1:75" s="27" customFormat="1" thickTop="1" thickBot="1" x14ac:dyDescent="0.3">
      <c r="A194" s="21">
        <v>466</v>
      </c>
      <c r="B194" s="22">
        <v>47</v>
      </c>
      <c r="C194" s="22">
        <v>6</v>
      </c>
      <c r="D194" s="23"/>
      <c r="E194" s="24">
        <v>134</v>
      </c>
      <c r="F194" s="24">
        <v>16</v>
      </c>
      <c r="G194" s="25">
        <f t="shared" si="50"/>
        <v>118</v>
      </c>
      <c r="H194" s="23"/>
      <c r="I194" s="22">
        <v>108</v>
      </c>
      <c r="J194" s="3">
        <f t="shared" si="52"/>
        <v>-38.8983050847458</v>
      </c>
      <c r="K194" s="26">
        <f t="shared" si="51"/>
        <v>186</v>
      </c>
      <c r="L194" s="23"/>
      <c r="N194" s="23"/>
      <c r="O194" s="28">
        <v>0.16600000000000001</v>
      </c>
      <c r="P194" s="29">
        <v>4.2999999999999997E-2</v>
      </c>
      <c r="Q194" s="23"/>
      <c r="R194" s="30">
        <v>120</v>
      </c>
      <c r="S194" s="31">
        <v>21</v>
      </c>
      <c r="T194" s="32">
        <v>800</v>
      </c>
      <c r="U194" s="23"/>
      <c r="V194" s="33">
        <v>217</v>
      </c>
      <c r="W194" s="75">
        <f t="shared" ref="W194:W204" si="54">SQRT(0.1^2+0.1^2+1/V194)*100</f>
        <v>15.687031245865352</v>
      </c>
      <c r="X194" s="5"/>
      <c r="Y194" s="55">
        <v>159</v>
      </c>
      <c r="Z194" s="13">
        <f t="shared" si="45"/>
        <v>0.16213977974605934</v>
      </c>
      <c r="AB194" s="27">
        <v>10</v>
      </c>
      <c r="AC194" s="27">
        <v>10</v>
      </c>
      <c r="AD194" s="27" t="s">
        <v>31</v>
      </c>
      <c r="AE194" s="5">
        <f t="shared" si="46"/>
        <v>466</v>
      </c>
      <c r="AF194" s="28"/>
      <c r="AG194" s="55"/>
      <c r="AH194" s="3"/>
      <c r="AJ194" s="5"/>
      <c r="AK194" s="2">
        <v>700</v>
      </c>
      <c r="AL194" s="7">
        <f t="shared" ref="AL194:AL257" si="55">AK194*R194*0.000001</f>
        <v>8.3999999999999991E-2</v>
      </c>
      <c r="AM194" s="8">
        <f t="shared" ref="AM194:AM257" si="56">O194-AL194</f>
        <v>8.2000000000000017E-2</v>
      </c>
      <c r="AN194" s="56">
        <f t="shared" ref="AN194:AN248" si="57">S194*AK194*0.000001</f>
        <v>1.47E-2</v>
      </c>
      <c r="AO194" s="9">
        <f t="shared" ref="AO194:AO257" si="58">P194-AN194</f>
        <v>2.8299999999999999E-2</v>
      </c>
      <c r="AP194" s="5"/>
      <c r="AQ194" s="91"/>
      <c r="AR194" s="5"/>
      <c r="AS194" s="96"/>
      <c r="AT194" s="5"/>
      <c r="AU194" s="30"/>
      <c r="AV194" s="31"/>
      <c r="AW194" s="32"/>
      <c r="AX194" s="147"/>
      <c r="BN194" s="5"/>
      <c r="BO194">
        <f t="shared" si="47"/>
        <v>0.44469999999999998</v>
      </c>
      <c r="BP194">
        <f t="shared" ref="BP194:BP257" si="59">(31*3*10*6.5-$AK194)*$R194/(1000000)+$O194</f>
        <v>0.80740000000000001</v>
      </c>
      <c r="BQ194">
        <f t="shared" si="48"/>
        <v>0.56559999999999999</v>
      </c>
      <c r="BR194">
        <f t="shared" si="49"/>
        <v>0.32379999999999998</v>
      </c>
      <c r="BS194" s="28"/>
      <c r="BT194" s="91"/>
      <c r="BU194" s="28"/>
      <c r="BV194" s="91"/>
      <c r="BW194" s="4">
        <f t="shared" ref="BW194:BW257" si="60">A194</f>
        <v>466</v>
      </c>
    </row>
    <row r="195" spans="1:75" thickTop="1" thickBot="1" x14ac:dyDescent="0.3">
      <c r="A195" s="15">
        <v>496</v>
      </c>
      <c r="B195" s="16">
        <v>48</v>
      </c>
      <c r="C195" s="16">
        <v>6</v>
      </c>
      <c r="D195" s="17"/>
      <c r="E195" s="1">
        <v>137</v>
      </c>
      <c r="F195" s="1">
        <v>7</v>
      </c>
      <c r="G195" s="18">
        <f t="shared" si="50"/>
        <v>130</v>
      </c>
      <c r="H195" s="17"/>
      <c r="I195" s="19">
        <v>10</v>
      </c>
      <c r="J195" s="3">
        <f t="shared" si="52"/>
        <v>-39.807692307692321</v>
      </c>
      <c r="K195" s="20">
        <f t="shared" si="51"/>
        <v>186</v>
      </c>
      <c r="L195" s="17"/>
      <c r="N195" s="17"/>
      <c r="O195" s="8">
        <v>0.13200000000000001</v>
      </c>
      <c r="P195" s="9">
        <v>0.121</v>
      </c>
      <c r="Q195" s="17"/>
      <c r="R195" s="10">
        <v>71</v>
      </c>
      <c r="S195" s="11">
        <v>78</v>
      </c>
      <c r="T195" s="12">
        <v>2600</v>
      </c>
      <c r="U195" s="17"/>
      <c r="V195" s="7">
        <v>612</v>
      </c>
      <c r="W195" s="13">
        <f t="shared" si="54"/>
        <v>14.708496499678198</v>
      </c>
      <c r="Y195" s="56">
        <v>1743</v>
      </c>
      <c r="Z195" s="13">
        <f t="shared" ref="Z195:Z258" si="61">SQRT(0.1^2+0.1^2+1/Y195)</f>
        <v>0.14343543308851453</v>
      </c>
      <c r="AB195" s="72">
        <v>10</v>
      </c>
      <c r="AC195" s="72">
        <v>10</v>
      </c>
      <c r="AD195" s="72" t="s">
        <v>32</v>
      </c>
      <c r="AE195" s="5">
        <f t="shared" ref="AE195:AE258" si="62">A195</f>
        <v>496</v>
      </c>
      <c r="AF195" s="8">
        <f>(O195*AB195+O196*AB196+O197*AB197)/100</f>
        <v>0.18129999999999999</v>
      </c>
      <c r="AG195" s="56">
        <f>(P195*AC195+P196*AC196+P197*AC197)/100</f>
        <v>0.12590000000000001</v>
      </c>
      <c r="AH195" s="3">
        <f>225-5.625*($B195-0.5)</f>
        <v>-42.1875</v>
      </c>
      <c r="AI195">
        <f>K195</f>
        <v>186</v>
      </c>
      <c r="AK195" s="2">
        <v>900</v>
      </c>
      <c r="AL195" s="7">
        <f t="shared" si="55"/>
        <v>6.3899999999999998E-2</v>
      </c>
      <c r="AM195" s="8">
        <f t="shared" si="56"/>
        <v>6.8100000000000008E-2</v>
      </c>
      <c r="AN195" s="56">
        <f t="shared" si="57"/>
        <v>7.0199999999999999E-2</v>
      </c>
      <c r="AO195" s="9">
        <f t="shared" si="58"/>
        <v>5.0799999999999998E-2</v>
      </c>
      <c r="AQ195" s="90">
        <f>($AB195*AM195+$AB196*AM196+$AB197*AM197)/100</f>
        <v>0.12367</v>
      </c>
      <c r="AS195" s="95">
        <f>($AB195*AO195+$AB196*AO196+$AB197*AO197)/100</f>
        <v>0.05</v>
      </c>
      <c r="AU195" s="10">
        <f>($AB195*R195+$AB196*R196+$AB197*R197)/100</f>
        <v>61.2</v>
      </c>
      <c r="AV195" s="11">
        <f>($AB195*S195+$AB196*S196+$AB197*S197)/100</f>
        <v>79.2</v>
      </c>
      <c r="AW195" s="12">
        <f>($AB195*T195+$AB196*T196+$AB197*T197)/100</f>
        <v>2525.6</v>
      </c>
      <c r="AX195" s="147">
        <f>($AB195*AK195+$AB196*AK196+$AB197*AK197)/100</f>
        <v>930</v>
      </c>
      <c r="BO195">
        <f t="shared" ref="BO195:BO258" si="63">(31*1.5*10*6.5-AK195)*R195/(1000000)+O195</f>
        <v>0.28269750000000005</v>
      </c>
      <c r="BP195">
        <f t="shared" si="59"/>
        <v>0.49729499999999999</v>
      </c>
      <c r="BQ195">
        <f t="shared" ref="BQ195:BQ258" si="64">(31*2*10*6.5-$AK195)*$R195/(1000000)+$O195</f>
        <v>0.35423000000000004</v>
      </c>
      <c r="BR195">
        <f t="shared" ref="BR195:BR258" si="65">(31*10*6.5-$AK195)*$R195/(1000000)+$O195</f>
        <v>0.21116499999999999</v>
      </c>
      <c r="BS195" s="8">
        <f>($AB195*BO195+$AB196*BO196+$AB197*BO197)/100</f>
        <v>0.308647</v>
      </c>
      <c r="BT195" s="90">
        <f>($AB195*BP195+$AB196*BP196+$AB197*BP197)/100</f>
        <v>0.49362399999999995</v>
      </c>
      <c r="BU195" s="8">
        <f>($AB195*BQ195+$AB196*BQ196+$AB197*BQ197)/100</f>
        <v>0.37030600000000002</v>
      </c>
      <c r="BV195" s="90">
        <f>($AB195*BR195+$AB196*BR196+$AB197*BR197)/100</f>
        <v>0.24698800000000001</v>
      </c>
      <c r="BW195" s="4">
        <f t="shared" si="60"/>
        <v>496</v>
      </c>
    </row>
    <row r="196" spans="1:75" thickTop="1" thickBot="1" x14ac:dyDescent="0.3">
      <c r="A196" s="4">
        <v>496</v>
      </c>
      <c r="B196" s="93">
        <v>48</v>
      </c>
      <c r="C196" s="93">
        <v>6</v>
      </c>
      <c r="E196" s="1">
        <v>137</v>
      </c>
      <c r="F196" s="1">
        <v>7</v>
      </c>
      <c r="G196" s="3">
        <f t="shared" si="50"/>
        <v>130</v>
      </c>
      <c r="I196" s="2">
        <v>65</v>
      </c>
      <c r="J196" s="3">
        <f t="shared" si="52"/>
        <v>-42.1875</v>
      </c>
      <c r="K196" s="6">
        <f t="shared" si="51"/>
        <v>186</v>
      </c>
      <c r="O196" s="8">
        <v>0.17399999999999999</v>
      </c>
      <c r="P196" s="9">
        <v>0.113</v>
      </c>
      <c r="R196" s="10">
        <v>57</v>
      </c>
      <c r="S196" s="11">
        <v>70</v>
      </c>
      <c r="T196" s="12">
        <v>2407</v>
      </c>
      <c r="V196" s="7">
        <v>719</v>
      </c>
      <c r="W196" s="13">
        <f t="shared" si="54"/>
        <v>14.625601042057948</v>
      </c>
      <c r="Y196" s="56">
        <v>1580</v>
      </c>
      <c r="Z196" s="13">
        <f t="shared" si="61"/>
        <v>0.14364160745551779</v>
      </c>
      <c r="AB196" s="72">
        <v>80</v>
      </c>
      <c r="AC196" s="72">
        <v>80</v>
      </c>
      <c r="AD196" t="s">
        <v>32</v>
      </c>
      <c r="AE196" s="5">
        <f t="shared" si="62"/>
        <v>496</v>
      </c>
      <c r="AG196" s="56"/>
      <c r="AK196" s="2">
        <v>900</v>
      </c>
      <c r="AL196" s="7">
        <f t="shared" si="55"/>
        <v>5.1299999999999998E-2</v>
      </c>
      <c r="AM196" s="8">
        <f t="shared" si="56"/>
        <v>0.12269999999999999</v>
      </c>
      <c r="AN196" s="56">
        <f t="shared" si="57"/>
        <v>6.3E-2</v>
      </c>
      <c r="AO196" s="9">
        <f t="shared" si="58"/>
        <v>0.05</v>
      </c>
      <c r="AX196" s="147"/>
      <c r="BO196">
        <f t="shared" si="63"/>
        <v>0.29498249999999998</v>
      </c>
      <c r="BP196">
        <f t="shared" si="59"/>
        <v>0.46726499999999999</v>
      </c>
      <c r="BQ196">
        <f t="shared" si="64"/>
        <v>0.35241</v>
      </c>
      <c r="BR196">
        <f t="shared" si="65"/>
        <v>0.23755499999999999</v>
      </c>
      <c r="BS196" s="8"/>
      <c r="BT196" s="90"/>
      <c r="BU196" s="8"/>
      <c r="BV196" s="90"/>
      <c r="BW196" s="4">
        <f t="shared" si="60"/>
        <v>496</v>
      </c>
    </row>
    <row r="197" spans="1:75" s="27" customFormat="1" thickTop="1" thickBot="1" x14ac:dyDescent="0.3">
      <c r="A197" s="21">
        <v>496</v>
      </c>
      <c r="B197" s="22">
        <v>48</v>
      </c>
      <c r="C197" s="22">
        <v>6</v>
      </c>
      <c r="D197" s="23"/>
      <c r="E197" s="24">
        <v>137</v>
      </c>
      <c r="F197" s="24">
        <v>7</v>
      </c>
      <c r="G197" s="25">
        <f t="shared" si="50"/>
        <v>130</v>
      </c>
      <c r="H197" s="23"/>
      <c r="I197" s="22">
        <v>120</v>
      </c>
      <c r="J197" s="3">
        <f t="shared" si="52"/>
        <v>-44.567307692307679</v>
      </c>
      <c r="K197" s="26">
        <f t="shared" si="51"/>
        <v>186</v>
      </c>
      <c r="L197" s="23"/>
      <c r="N197" s="23"/>
      <c r="O197" s="28">
        <v>0.28899999999999998</v>
      </c>
      <c r="P197" s="29">
        <v>0.23400000000000001</v>
      </c>
      <c r="Q197" s="23"/>
      <c r="R197" s="30">
        <v>85</v>
      </c>
      <c r="S197" s="31">
        <v>154</v>
      </c>
      <c r="T197" s="32">
        <v>3400</v>
      </c>
      <c r="U197" s="23"/>
      <c r="V197" s="33">
        <v>1070</v>
      </c>
      <c r="W197" s="34">
        <f t="shared" si="54"/>
        <v>14.468786901206451</v>
      </c>
      <c r="X197" s="5"/>
      <c r="Y197" s="55">
        <v>3264</v>
      </c>
      <c r="Z197" s="34">
        <f t="shared" si="61"/>
        <v>0.14250042999591128</v>
      </c>
      <c r="AB197" s="27">
        <v>10</v>
      </c>
      <c r="AC197" s="27">
        <v>10</v>
      </c>
      <c r="AD197" s="27" t="s">
        <v>32</v>
      </c>
      <c r="AE197" s="5">
        <f t="shared" si="62"/>
        <v>496</v>
      </c>
      <c r="AF197" s="28"/>
      <c r="AG197" s="55"/>
      <c r="AH197" s="3"/>
      <c r="AJ197" s="5"/>
      <c r="AK197" s="2">
        <v>1200</v>
      </c>
      <c r="AL197" s="7">
        <f t="shared" si="55"/>
        <v>0.10199999999999999</v>
      </c>
      <c r="AM197" s="8">
        <f t="shared" si="56"/>
        <v>0.187</v>
      </c>
      <c r="AN197" s="56">
        <f t="shared" si="57"/>
        <v>0.18479999999999999</v>
      </c>
      <c r="AO197" s="9">
        <f t="shared" si="58"/>
        <v>4.9200000000000021E-2</v>
      </c>
      <c r="AP197" s="5"/>
      <c r="AQ197" s="91"/>
      <c r="AR197" s="5"/>
      <c r="AS197" s="96"/>
      <c r="AT197" s="5"/>
      <c r="AU197" s="30"/>
      <c r="AV197" s="31"/>
      <c r="AW197" s="32"/>
      <c r="AX197" s="147"/>
      <c r="BN197" s="5"/>
      <c r="BO197">
        <f t="shared" si="63"/>
        <v>0.44391249999999999</v>
      </c>
      <c r="BP197">
        <f t="shared" si="59"/>
        <v>0.70082500000000003</v>
      </c>
      <c r="BQ197">
        <f t="shared" si="64"/>
        <v>0.52954999999999997</v>
      </c>
      <c r="BR197">
        <f t="shared" si="65"/>
        <v>0.35827500000000001</v>
      </c>
      <c r="BS197" s="28"/>
      <c r="BT197" s="91"/>
      <c r="BU197" s="28"/>
      <c r="BV197" s="91"/>
      <c r="BW197" s="4">
        <f t="shared" si="60"/>
        <v>496</v>
      </c>
    </row>
    <row r="198" spans="1:75" thickTop="1" thickBot="1" x14ac:dyDescent="0.3">
      <c r="A198" s="15">
        <v>506</v>
      </c>
      <c r="B198" s="16">
        <v>49</v>
      </c>
      <c r="C198" s="16">
        <v>6</v>
      </c>
      <c r="D198" s="17"/>
      <c r="E198" s="1">
        <v>131</v>
      </c>
      <c r="F198" s="1">
        <v>7</v>
      </c>
      <c r="G198" s="18">
        <f t="shared" si="50"/>
        <v>124</v>
      </c>
      <c r="H198" s="17"/>
      <c r="I198" s="19">
        <v>9</v>
      </c>
      <c r="J198" s="3">
        <f t="shared" si="52"/>
        <v>-45.408266129032256</v>
      </c>
      <c r="K198" s="20">
        <f t="shared" si="51"/>
        <v>186</v>
      </c>
      <c r="L198" s="17"/>
      <c r="N198" s="17"/>
      <c r="O198" s="8">
        <v>0.06</v>
      </c>
      <c r="P198" s="9">
        <v>7.0000000000000001E-3</v>
      </c>
      <c r="Q198" s="17"/>
      <c r="R198" s="10">
        <v>106</v>
      </c>
      <c r="S198" s="11">
        <v>26</v>
      </c>
      <c r="T198" s="12">
        <v>800</v>
      </c>
      <c r="U198" s="17"/>
      <c r="V198" s="7">
        <v>0</v>
      </c>
      <c r="W198" s="13" t="e">
        <f t="shared" si="54"/>
        <v>#DIV/0!</v>
      </c>
      <c r="Y198" s="56">
        <v>0</v>
      </c>
      <c r="Z198" s="13" t="e">
        <f t="shared" si="61"/>
        <v>#DIV/0!</v>
      </c>
      <c r="AB198" s="72">
        <v>5</v>
      </c>
      <c r="AC198" s="72">
        <v>5</v>
      </c>
      <c r="AD198" s="72" t="s">
        <v>33</v>
      </c>
      <c r="AE198" s="5">
        <f t="shared" si="62"/>
        <v>506</v>
      </c>
      <c r="AF198" s="8">
        <f>(O198*AB198+O199*AB199+O200*AB200+O201*AB201)/100</f>
        <v>7.2849999999999998E-2</v>
      </c>
      <c r="AG198" s="56">
        <f>(P198*AC198+P199*AC199+P200*AC200+P201*AC201)/100</f>
        <v>3.6849999999999994E-2</v>
      </c>
      <c r="AH198" s="3">
        <f>225-5.625*($B198-0.5)</f>
        <v>-47.8125</v>
      </c>
      <c r="AI198">
        <f>K198</f>
        <v>186</v>
      </c>
      <c r="AK198" s="2">
        <v>600</v>
      </c>
      <c r="AL198" s="7">
        <f t="shared" si="55"/>
        <v>6.3600000000000004E-2</v>
      </c>
      <c r="AM198" s="8">
        <f t="shared" si="56"/>
        <v>-3.600000000000006E-3</v>
      </c>
      <c r="AN198" s="56">
        <f t="shared" si="57"/>
        <v>1.5599999999999999E-2</v>
      </c>
      <c r="AO198" s="9">
        <f t="shared" si="58"/>
        <v>-8.6E-3</v>
      </c>
      <c r="AQ198" s="90">
        <f>($AB198*AM198+$AB199*AM199+$AB200*AM200+$AB201*AM201)/100</f>
        <v>8.199999999999963E-4</v>
      </c>
      <c r="AS198" s="95">
        <f>($AB198*AO198+$AB199*AO199+$AB200*AO200+$AB201*AO201)/100</f>
        <v>2.794E-2</v>
      </c>
      <c r="AU198" s="10">
        <f>($AB198*R198+$AB199*R199+$AB200*R200+$AB201*R201)/100</f>
        <v>118.75</v>
      </c>
      <c r="AV198" s="11">
        <f>($AB198*S198+$AB199*S199+$AB200*S200+$AB201*S201)/100</f>
        <v>14.55</v>
      </c>
      <c r="AW198" s="12">
        <f>($AB198*T198+$AB199*T199+$AB200*T200+$AB201*T201)/100</f>
        <v>740</v>
      </c>
      <c r="AX198" s="147">
        <f>($AB198*AK198+$AB199*AK199+$AB200*AK200+AB201*AK201)/100</f>
        <v>620</v>
      </c>
      <c r="BO198">
        <f t="shared" si="63"/>
        <v>0.31678499999999998</v>
      </c>
      <c r="BP198">
        <f t="shared" si="59"/>
        <v>0.63717000000000001</v>
      </c>
      <c r="BQ198">
        <f t="shared" si="64"/>
        <v>0.42358000000000001</v>
      </c>
      <c r="BR198">
        <f t="shared" si="65"/>
        <v>0.20999000000000001</v>
      </c>
      <c r="BS198" s="8">
        <f>($AB198*BO198+$AB199*BO199+$AB200*BO200+$AB201*BO201)/100</f>
        <v>0.35974187499999999</v>
      </c>
      <c r="BT198" s="90">
        <f>($AB198*BP198+$AB199*BP199+$AB200*BP200+$AB201*BP201)/100</f>
        <v>0.71866375000000005</v>
      </c>
      <c r="BU198" s="8">
        <f>($AB198*BQ198+$AB199*BQ199+$AB200*BQ200+$AB201*BQ201)/100</f>
        <v>0.47938249999999999</v>
      </c>
      <c r="BV198" s="90">
        <f>($AB198*BR198+$AB199*BR199+$AB200*BR200+$AB201*BR201)/100</f>
        <v>0.24010124999999999</v>
      </c>
      <c r="BW198" s="4">
        <f t="shared" si="60"/>
        <v>506</v>
      </c>
    </row>
    <row r="199" spans="1:75" thickTop="1" thickBot="1" x14ac:dyDescent="0.3">
      <c r="A199" s="4">
        <v>506</v>
      </c>
      <c r="B199" s="93">
        <v>49</v>
      </c>
      <c r="C199" s="93">
        <v>6</v>
      </c>
      <c r="E199" s="1">
        <v>131</v>
      </c>
      <c r="F199" s="1">
        <v>7</v>
      </c>
      <c r="G199" s="3">
        <f t="shared" ref="G199:G208" si="66">E199-F199</f>
        <v>124</v>
      </c>
      <c r="I199" s="2">
        <v>10</v>
      </c>
      <c r="J199" s="3">
        <f t="shared" si="52"/>
        <v>-45.45362903225805</v>
      </c>
      <c r="K199" s="6">
        <f t="shared" ref="K199:K208" si="67">120+12*(C199-0.5)</f>
        <v>186</v>
      </c>
      <c r="O199" s="8">
        <v>0.107</v>
      </c>
      <c r="P199" s="9">
        <v>2.5999999999999999E-2</v>
      </c>
      <c r="R199" s="10">
        <v>105</v>
      </c>
      <c r="S199" s="11">
        <v>17</v>
      </c>
      <c r="T199" s="12">
        <v>900</v>
      </c>
      <c r="V199" s="7">
        <v>190</v>
      </c>
      <c r="W199" s="13">
        <f t="shared" si="54"/>
        <v>15.894388284780527</v>
      </c>
      <c r="Y199" s="56">
        <v>115</v>
      </c>
      <c r="Z199" s="13">
        <f t="shared" si="61"/>
        <v>0.16939791077198399</v>
      </c>
      <c r="AB199" s="72">
        <v>15</v>
      </c>
      <c r="AC199" s="72">
        <v>15</v>
      </c>
      <c r="AD199" s="72" t="s">
        <v>33</v>
      </c>
      <c r="AE199" s="5">
        <f t="shared" si="62"/>
        <v>506</v>
      </c>
      <c r="AG199" s="56"/>
      <c r="AK199" s="2">
        <v>600</v>
      </c>
      <c r="AL199" s="7">
        <f t="shared" si="55"/>
        <v>6.3E-2</v>
      </c>
      <c r="AM199" s="8">
        <f t="shared" si="56"/>
        <v>4.3999999999999997E-2</v>
      </c>
      <c r="AN199" s="56">
        <f t="shared" si="57"/>
        <v>1.0199999999999999E-2</v>
      </c>
      <c r="AO199" s="9">
        <f t="shared" si="58"/>
        <v>1.5800000000000002E-2</v>
      </c>
      <c r="AX199" s="147"/>
      <c r="BO199">
        <f t="shared" si="63"/>
        <v>0.36136249999999998</v>
      </c>
      <c r="BP199">
        <f t="shared" si="59"/>
        <v>0.67872500000000002</v>
      </c>
      <c r="BQ199">
        <f t="shared" si="64"/>
        <v>0.46715000000000001</v>
      </c>
      <c r="BR199">
        <f t="shared" si="65"/>
        <v>0.255575</v>
      </c>
      <c r="BS199" s="8"/>
      <c r="BT199" s="90"/>
      <c r="BU199" s="8"/>
      <c r="BV199" s="90"/>
      <c r="BW199" s="4">
        <f t="shared" si="60"/>
        <v>506</v>
      </c>
    </row>
    <row r="200" spans="1:75" thickTop="1" thickBot="1" x14ac:dyDescent="0.3">
      <c r="A200" s="4">
        <v>506</v>
      </c>
      <c r="B200" s="2">
        <v>49</v>
      </c>
      <c r="C200" s="2">
        <v>6</v>
      </c>
      <c r="E200" s="1">
        <v>131</v>
      </c>
      <c r="F200" s="1">
        <v>7</v>
      </c>
      <c r="G200" s="3">
        <f t="shared" si="66"/>
        <v>124</v>
      </c>
      <c r="I200" s="2">
        <v>60</v>
      </c>
      <c r="J200" s="3">
        <f t="shared" si="52"/>
        <v>-47.721774193548413</v>
      </c>
      <c r="K200" s="6">
        <f t="shared" si="67"/>
        <v>186</v>
      </c>
      <c r="O200" s="8">
        <v>0.06</v>
      </c>
      <c r="P200" s="9">
        <v>4.3999999999999997E-2</v>
      </c>
      <c r="R200" s="10">
        <v>134</v>
      </c>
      <c r="S200" s="11">
        <v>14</v>
      </c>
      <c r="T200" s="12">
        <v>700</v>
      </c>
      <c r="V200" s="7">
        <v>0</v>
      </c>
      <c r="W200" s="13" t="e">
        <f t="shared" si="54"/>
        <v>#DIV/0!</v>
      </c>
      <c r="Y200" s="56">
        <v>123</v>
      </c>
      <c r="Z200" s="13">
        <f t="shared" si="61"/>
        <v>0.16772024714032893</v>
      </c>
      <c r="AB200" s="72">
        <v>70</v>
      </c>
      <c r="AC200" s="72">
        <v>70</v>
      </c>
      <c r="AD200" s="72" t="s">
        <v>33</v>
      </c>
      <c r="AE200" s="5">
        <f t="shared" si="62"/>
        <v>506</v>
      </c>
      <c r="AG200" s="56"/>
      <c r="AK200" s="2">
        <v>600</v>
      </c>
      <c r="AL200" s="7">
        <f t="shared" si="55"/>
        <v>8.0399999999999999E-2</v>
      </c>
      <c r="AM200" s="8">
        <f t="shared" si="56"/>
        <v>-2.0400000000000001E-2</v>
      </c>
      <c r="AN200" s="56">
        <f t="shared" si="57"/>
        <v>8.3999999999999995E-3</v>
      </c>
      <c r="AO200" s="9">
        <f t="shared" si="58"/>
        <v>3.56E-2</v>
      </c>
      <c r="AX200" s="147"/>
      <c r="BO200">
        <f t="shared" si="63"/>
        <v>0.38461499999999998</v>
      </c>
      <c r="BP200">
        <f t="shared" si="59"/>
        <v>0.78963000000000005</v>
      </c>
      <c r="BQ200">
        <f t="shared" si="64"/>
        <v>0.51961999999999997</v>
      </c>
      <c r="BR200">
        <f t="shared" si="65"/>
        <v>0.24961</v>
      </c>
      <c r="BS200" s="8"/>
      <c r="BT200" s="90"/>
      <c r="BU200" s="8"/>
      <c r="BV200" s="90"/>
      <c r="BW200" s="4">
        <f t="shared" si="60"/>
        <v>506</v>
      </c>
    </row>
    <row r="201" spans="1:75" s="27" customFormat="1" thickTop="1" thickBot="1" x14ac:dyDescent="0.3">
      <c r="A201" s="21">
        <v>506</v>
      </c>
      <c r="B201" s="22">
        <v>49</v>
      </c>
      <c r="C201" s="22">
        <v>6</v>
      </c>
      <c r="D201" s="23"/>
      <c r="E201" s="24">
        <v>131</v>
      </c>
      <c r="F201" s="24">
        <v>7</v>
      </c>
      <c r="G201" s="25">
        <f t="shared" si="66"/>
        <v>124</v>
      </c>
      <c r="H201" s="23"/>
      <c r="I201" s="22">
        <v>108</v>
      </c>
      <c r="J201" s="3">
        <f t="shared" si="52"/>
        <v>-49.899193548387075</v>
      </c>
      <c r="K201" s="26">
        <f t="shared" si="67"/>
        <v>186</v>
      </c>
      <c r="L201" s="23"/>
      <c r="N201" s="23"/>
      <c r="O201" s="28">
        <v>0.11799999999999999</v>
      </c>
      <c r="P201" s="29">
        <v>1.7999999999999999E-2</v>
      </c>
      <c r="Q201" s="23"/>
      <c r="R201" s="30">
        <v>39</v>
      </c>
      <c r="S201" s="31">
        <v>9</v>
      </c>
      <c r="T201" s="32">
        <v>750</v>
      </c>
      <c r="U201" s="23"/>
      <c r="V201" s="33">
        <v>80</v>
      </c>
      <c r="W201" s="34">
        <f t="shared" si="54"/>
        <v>18.027756377319946</v>
      </c>
      <c r="X201" s="5"/>
      <c r="Y201" s="55">
        <v>33</v>
      </c>
      <c r="Z201" s="34">
        <f t="shared" si="61"/>
        <v>0.2242833705450101</v>
      </c>
      <c r="AB201" s="27">
        <v>10</v>
      </c>
      <c r="AC201" s="27">
        <v>10</v>
      </c>
      <c r="AD201" s="73" t="s">
        <v>33</v>
      </c>
      <c r="AE201" s="5">
        <f t="shared" si="62"/>
        <v>506</v>
      </c>
      <c r="AF201" s="28"/>
      <c r="AG201" s="55"/>
      <c r="AH201" s="3"/>
      <c r="AJ201" s="5"/>
      <c r="AK201" s="2">
        <v>800</v>
      </c>
      <c r="AL201" s="7">
        <f t="shared" si="55"/>
        <v>3.1199999999999999E-2</v>
      </c>
      <c r="AM201" s="8">
        <f t="shared" si="56"/>
        <v>8.6799999999999988E-2</v>
      </c>
      <c r="AN201" s="56">
        <f t="shared" si="57"/>
        <v>7.1999999999999998E-3</v>
      </c>
      <c r="AO201" s="9">
        <f t="shared" si="58"/>
        <v>1.0799999999999999E-2</v>
      </c>
      <c r="AP201" s="5"/>
      <c r="AQ201" s="91"/>
      <c r="AR201" s="5"/>
      <c r="AS201" s="96"/>
      <c r="AT201" s="5"/>
      <c r="AU201" s="30"/>
      <c r="AV201" s="31"/>
      <c r="AW201" s="32"/>
      <c r="AX201" s="147"/>
      <c r="BN201" s="5"/>
      <c r="BO201">
        <f t="shared" si="63"/>
        <v>0.20467750000000001</v>
      </c>
      <c r="BP201">
        <f t="shared" si="59"/>
        <v>0.32255499999999998</v>
      </c>
      <c r="BQ201">
        <f t="shared" si="64"/>
        <v>0.24396999999999999</v>
      </c>
      <c r="BR201">
        <f t="shared" si="65"/>
        <v>0.165385</v>
      </c>
      <c r="BS201" s="28"/>
      <c r="BT201" s="91"/>
      <c r="BU201" s="28"/>
      <c r="BV201" s="91"/>
      <c r="BW201" s="4">
        <f t="shared" si="60"/>
        <v>506</v>
      </c>
    </row>
    <row r="202" spans="1:75" thickTop="1" thickBot="1" x14ac:dyDescent="0.3">
      <c r="A202" s="15">
        <v>535</v>
      </c>
      <c r="B202" s="16">
        <v>54</v>
      </c>
      <c r="C202" s="16">
        <v>5</v>
      </c>
      <c r="D202" s="17"/>
      <c r="E202" s="1">
        <v>137</v>
      </c>
      <c r="F202" s="1">
        <v>13</v>
      </c>
      <c r="G202" s="18">
        <f t="shared" si="66"/>
        <v>124</v>
      </c>
      <c r="H202" s="17"/>
      <c r="I202" s="19">
        <v>10</v>
      </c>
      <c r="J202" s="3">
        <f t="shared" si="52"/>
        <v>-73.57862903225805</v>
      </c>
      <c r="K202" s="20">
        <f t="shared" si="67"/>
        <v>174</v>
      </c>
      <c r="L202" s="17"/>
      <c r="N202" s="17"/>
      <c r="O202" s="8">
        <v>1.7999999999999999E-2</v>
      </c>
      <c r="P202" s="9">
        <v>1.9E-2</v>
      </c>
      <c r="Q202" s="17"/>
      <c r="R202" s="10">
        <v>90</v>
      </c>
      <c r="S202" s="11">
        <v>27</v>
      </c>
      <c r="T202" s="12">
        <v>1000</v>
      </c>
      <c r="U202" s="17"/>
      <c r="V202" s="7">
        <v>0</v>
      </c>
      <c r="W202" s="13" t="e">
        <f t="shared" si="54"/>
        <v>#DIV/0!</v>
      </c>
      <c r="Y202" s="56">
        <v>0</v>
      </c>
      <c r="Z202" s="13" t="e">
        <f t="shared" si="61"/>
        <v>#DIV/0!</v>
      </c>
      <c r="AB202" s="72">
        <v>5</v>
      </c>
      <c r="AC202" s="72">
        <v>5</v>
      </c>
      <c r="AE202" s="5">
        <f t="shared" si="62"/>
        <v>535</v>
      </c>
      <c r="AF202" s="8">
        <f>(O202*AB202+O203*AB203+O204*AB204)/100</f>
        <v>0.12765000000000001</v>
      </c>
      <c r="AG202" s="56">
        <f>(P202*AC202+P203*AC203+P204*AC204)/100</f>
        <v>3.7250000000000005E-2</v>
      </c>
      <c r="AH202" s="3">
        <f>225-5.625*($B202-0.5)</f>
        <v>-75.9375</v>
      </c>
      <c r="AI202">
        <f>K202</f>
        <v>174</v>
      </c>
      <c r="AK202" s="2">
        <v>600</v>
      </c>
      <c r="AL202" s="7">
        <f t="shared" si="55"/>
        <v>5.3999999999999999E-2</v>
      </c>
      <c r="AM202" s="8">
        <f t="shared" si="56"/>
        <v>-3.6000000000000004E-2</v>
      </c>
      <c r="AN202" s="56">
        <f t="shared" si="57"/>
        <v>1.6199999999999999E-2</v>
      </c>
      <c r="AO202" s="9">
        <f t="shared" si="58"/>
        <v>2.8000000000000004E-3</v>
      </c>
      <c r="AQ202" s="90">
        <f>($AB202*AM202+$AB203*AM203+$AB204*AM204)/100</f>
        <v>6.3390000000000016E-2</v>
      </c>
      <c r="AS202" s="95">
        <f>($AB202*AO202+$AB203*AO203+$AB204*AO204)/100</f>
        <v>9.130000000000001E-3</v>
      </c>
      <c r="AU202" s="10">
        <f>($AB202*R202+$AB203*R203+$AB204*R204)/100</f>
        <v>89.8</v>
      </c>
      <c r="AV202" s="11">
        <f>($AB202*S202+$AB203*S203+$AB204*S204)/100</f>
        <v>36.15</v>
      </c>
      <c r="AW202" s="12">
        <f>($AB202*T202+$AB203*T203+$AB204*T204)/100</f>
        <v>820</v>
      </c>
      <c r="AX202" s="147">
        <f>($AB202*AK202+$AB203*AK203+$AB204*AK204)/100</f>
        <v>745</v>
      </c>
      <c r="BO202">
        <f t="shared" si="63"/>
        <v>0.23602499999999998</v>
      </c>
      <c r="BP202">
        <f t="shared" si="59"/>
        <v>0.50805</v>
      </c>
      <c r="BQ202">
        <f t="shared" si="64"/>
        <v>0.32669999999999999</v>
      </c>
      <c r="BR202">
        <f t="shared" si="65"/>
        <v>0.14534999999999998</v>
      </c>
      <c r="BS202" s="8">
        <f>($AB202*BO202+$AB203*BO203+$AB204*BO204)/100</f>
        <v>0.33481050000000001</v>
      </c>
      <c r="BT202" s="90">
        <f>($AB202*BP202+$AB203*BP203+$AB204*BP204)/100</f>
        <v>0.60623099999999996</v>
      </c>
      <c r="BU202" s="8">
        <f>($AB202*BQ202+$AB203*BQ203+$AB204*BQ204)/100</f>
        <v>0.425284</v>
      </c>
      <c r="BV202" s="90">
        <f>($AB202*BR202+$AB203*BR203+$AB204*BR204)/100</f>
        <v>0.24433700000000003</v>
      </c>
      <c r="BW202" s="4">
        <f t="shared" si="60"/>
        <v>535</v>
      </c>
    </row>
    <row r="203" spans="1:75" thickTop="1" thickBot="1" x14ac:dyDescent="0.3">
      <c r="A203" s="4">
        <v>535</v>
      </c>
      <c r="B203" s="2">
        <v>54</v>
      </c>
      <c r="C203" s="2">
        <v>5</v>
      </c>
      <c r="E203" s="1">
        <v>137</v>
      </c>
      <c r="F203" s="1">
        <v>13</v>
      </c>
      <c r="G203" s="3">
        <f t="shared" si="66"/>
        <v>124</v>
      </c>
      <c r="I203" s="2">
        <v>62</v>
      </c>
      <c r="J203" s="3">
        <f t="shared" si="52"/>
        <v>-75.9375</v>
      </c>
      <c r="K203" s="6">
        <f t="shared" si="67"/>
        <v>174</v>
      </c>
      <c r="O203" s="8">
        <v>0.13900000000000001</v>
      </c>
      <c r="P203" s="9">
        <v>3.2000000000000001E-2</v>
      </c>
      <c r="R203" s="10">
        <v>96</v>
      </c>
      <c r="S203" s="11">
        <v>34</v>
      </c>
      <c r="T203" s="12">
        <v>800</v>
      </c>
      <c r="V203" s="7">
        <v>222</v>
      </c>
      <c r="W203" s="13">
        <f t="shared" si="54"/>
        <v>15.653914687548451</v>
      </c>
      <c r="Y203" s="56">
        <v>157</v>
      </c>
      <c r="Z203" s="13">
        <f t="shared" si="61"/>
        <v>0.16238665816991357</v>
      </c>
      <c r="AB203" s="72">
        <v>85</v>
      </c>
      <c r="AC203" s="72">
        <v>85</v>
      </c>
      <c r="AE203" s="5">
        <f t="shared" si="62"/>
        <v>535</v>
      </c>
      <c r="AG203" s="56"/>
      <c r="AK203" s="2">
        <v>700</v>
      </c>
      <c r="AL203" s="7">
        <f t="shared" si="55"/>
        <v>6.7199999999999996E-2</v>
      </c>
      <c r="AM203" s="8">
        <f t="shared" si="56"/>
        <v>7.1800000000000017E-2</v>
      </c>
      <c r="AN203" s="56">
        <f t="shared" si="57"/>
        <v>2.3799999999999998E-2</v>
      </c>
      <c r="AO203" s="9">
        <f t="shared" si="58"/>
        <v>8.2000000000000024E-3</v>
      </c>
      <c r="AX203" s="147"/>
      <c r="BO203">
        <f t="shared" si="63"/>
        <v>0.36196</v>
      </c>
      <c r="BP203">
        <f t="shared" si="59"/>
        <v>0.65212000000000003</v>
      </c>
      <c r="BQ203">
        <f t="shared" si="64"/>
        <v>0.45868000000000003</v>
      </c>
      <c r="BR203">
        <f t="shared" si="65"/>
        <v>0.26524000000000003</v>
      </c>
      <c r="BS203" s="8"/>
      <c r="BT203" s="90"/>
      <c r="BU203" s="8"/>
      <c r="BV203" s="90"/>
      <c r="BW203" s="4">
        <f t="shared" si="60"/>
        <v>535</v>
      </c>
    </row>
    <row r="204" spans="1:75" s="27" customFormat="1" thickTop="1" thickBot="1" x14ac:dyDescent="0.3">
      <c r="A204" s="21">
        <v>535</v>
      </c>
      <c r="B204" s="22">
        <v>54</v>
      </c>
      <c r="C204" s="22">
        <v>5</v>
      </c>
      <c r="D204" s="23"/>
      <c r="E204" s="24">
        <v>137</v>
      </c>
      <c r="F204" s="24">
        <v>13</v>
      </c>
      <c r="G204" s="25">
        <f t="shared" si="66"/>
        <v>124</v>
      </c>
      <c r="H204" s="23"/>
      <c r="I204" s="22">
        <v>114</v>
      </c>
      <c r="J204" s="3">
        <f t="shared" si="52"/>
        <v>-78.29637096774195</v>
      </c>
      <c r="K204" s="26">
        <f t="shared" si="67"/>
        <v>174</v>
      </c>
      <c r="L204" s="23"/>
      <c r="N204" s="23"/>
      <c r="O204" s="28">
        <v>8.5999999999999993E-2</v>
      </c>
      <c r="P204" s="29">
        <v>9.0999999999999998E-2</v>
      </c>
      <c r="Q204" s="23"/>
      <c r="R204" s="30">
        <v>37</v>
      </c>
      <c r="S204" s="31">
        <v>59</v>
      </c>
      <c r="T204" s="32">
        <v>900</v>
      </c>
      <c r="U204" s="23"/>
      <c r="V204" s="33">
        <v>110</v>
      </c>
      <c r="W204" s="34">
        <f t="shared" si="54"/>
        <v>17.056057308448835</v>
      </c>
      <c r="X204" s="5"/>
      <c r="Y204" s="55">
        <v>432</v>
      </c>
      <c r="Z204" s="34">
        <f t="shared" si="61"/>
        <v>0.14938144066387504</v>
      </c>
      <c r="AB204" s="27">
        <v>10</v>
      </c>
      <c r="AC204" s="27">
        <v>10</v>
      </c>
      <c r="AE204" s="5">
        <f t="shared" si="62"/>
        <v>535</v>
      </c>
      <c r="AF204" s="28"/>
      <c r="AG204" s="55"/>
      <c r="AH204" s="3"/>
      <c r="AJ204" s="5"/>
      <c r="AK204" s="2">
        <v>1200</v>
      </c>
      <c r="AL204" s="7">
        <f t="shared" si="55"/>
        <v>4.4399999999999995E-2</v>
      </c>
      <c r="AM204" s="8">
        <f t="shared" si="56"/>
        <v>4.1599999999999998E-2</v>
      </c>
      <c r="AN204" s="56">
        <f t="shared" si="57"/>
        <v>7.0800000000000002E-2</v>
      </c>
      <c r="AO204" s="9">
        <f t="shared" si="58"/>
        <v>2.0199999999999996E-2</v>
      </c>
      <c r="AP204" s="5"/>
      <c r="AQ204" s="91"/>
      <c r="AR204" s="5"/>
      <c r="AS204" s="96"/>
      <c r="AT204" s="5"/>
      <c r="AU204" s="30"/>
      <c r="AV204" s="31"/>
      <c r="AW204" s="32"/>
      <c r="AX204" s="147"/>
      <c r="BN204" s="5"/>
      <c r="BO204">
        <f t="shared" si="63"/>
        <v>0.1534325</v>
      </c>
      <c r="BP204">
        <f t="shared" si="59"/>
        <v>0.26526499999999997</v>
      </c>
      <c r="BQ204">
        <f t="shared" si="64"/>
        <v>0.19070999999999999</v>
      </c>
      <c r="BR204">
        <f t="shared" si="65"/>
        <v>0.11615499999999999</v>
      </c>
      <c r="BS204" s="28"/>
      <c r="BT204" s="91"/>
      <c r="BU204" s="28"/>
      <c r="BV204" s="91"/>
      <c r="BW204" s="4">
        <f t="shared" si="60"/>
        <v>535</v>
      </c>
    </row>
    <row r="205" spans="1:75" thickTop="1" thickBot="1" x14ac:dyDescent="0.3">
      <c r="A205" s="15">
        <v>544</v>
      </c>
      <c r="B205" s="16">
        <v>55</v>
      </c>
      <c r="C205" s="16">
        <v>4</v>
      </c>
      <c r="D205" s="17"/>
      <c r="E205" s="1">
        <v>134</v>
      </c>
      <c r="F205" s="1">
        <v>10</v>
      </c>
      <c r="G205" s="18">
        <f t="shared" si="66"/>
        <v>124</v>
      </c>
      <c r="H205" s="17"/>
      <c r="I205" s="19">
        <v>10</v>
      </c>
      <c r="J205" s="3">
        <f t="shared" si="52"/>
        <v>-79.20362903225805</v>
      </c>
      <c r="K205" s="20">
        <f t="shared" si="67"/>
        <v>162</v>
      </c>
      <c r="L205" s="17"/>
      <c r="N205" s="17"/>
      <c r="O205" s="8">
        <v>0.157</v>
      </c>
      <c r="P205" s="9">
        <v>5.1999999999999998E-2</v>
      </c>
      <c r="Q205" s="17"/>
      <c r="R205" s="10">
        <v>74</v>
      </c>
      <c r="S205" s="11">
        <v>43</v>
      </c>
      <c r="T205" s="12">
        <v>800</v>
      </c>
      <c r="U205" s="17"/>
      <c r="V205" s="7">
        <v>209</v>
      </c>
      <c r="W205" s="13">
        <f>SQRT(0.1^2+0.1^2+1/V205)*100</f>
        <v>15.743153748603014</v>
      </c>
      <c r="Y205" s="56">
        <v>0</v>
      </c>
      <c r="Z205" s="13" t="e">
        <f t="shared" si="61"/>
        <v>#DIV/0!</v>
      </c>
      <c r="AB205" s="72">
        <v>5</v>
      </c>
      <c r="AC205" s="72">
        <v>5</v>
      </c>
      <c r="AE205" s="5">
        <f t="shared" si="62"/>
        <v>544</v>
      </c>
      <c r="AF205" s="8">
        <f>(O205*AB205+O206*AB206+O207*AB207)/100</f>
        <v>0.14984999999999998</v>
      </c>
      <c r="AG205" s="56">
        <f>(P205*AC205+P206*AC206+P207*AC207)/100</f>
        <v>8.0350000000000005E-2</v>
      </c>
      <c r="AH205" s="3">
        <f>225-5.625*($B205-0.5)</f>
        <v>-81.5625</v>
      </c>
      <c r="AI205">
        <f>K205</f>
        <v>162</v>
      </c>
      <c r="AK205" s="2">
        <v>1200</v>
      </c>
      <c r="AL205" s="7">
        <f t="shared" si="55"/>
        <v>8.879999999999999E-2</v>
      </c>
      <c r="AM205" s="8">
        <f t="shared" si="56"/>
        <v>6.8200000000000011E-2</v>
      </c>
      <c r="AN205" s="56">
        <f t="shared" si="57"/>
        <v>5.16E-2</v>
      </c>
      <c r="AO205" s="9">
        <f t="shared" si="58"/>
        <v>3.9999999999999758E-4</v>
      </c>
      <c r="AQ205" s="90">
        <f>($AB205*AM205+$AB206*AM206+$AB207*AM207)/100</f>
        <v>3.1009999999999999E-2</v>
      </c>
      <c r="AS205" s="95">
        <f>($AB205*AO205+$AB206*AO206+$AB207*AO207)/100</f>
        <v>5.0970000000000001E-2</v>
      </c>
      <c r="AU205" s="10">
        <f>($AB205*R205+$AB206*R206+$AB207*R207)/100</f>
        <v>87.5</v>
      </c>
      <c r="AV205" s="11">
        <f>($AB205*S205+$AB206*S206+$AB207*S207)/100</f>
        <v>22.15</v>
      </c>
      <c r="AW205" s="12">
        <f>($AB205*T205+$AB206*T206+$AB207*T207)/100</f>
        <v>790</v>
      </c>
      <c r="AX205" s="147">
        <f>($AB205*AK205+$AB206*AK206+$AB207*AK207)/100</f>
        <v>1350</v>
      </c>
      <c r="BO205">
        <f t="shared" si="63"/>
        <v>0.29186500000000004</v>
      </c>
      <c r="BP205">
        <f t="shared" si="59"/>
        <v>0.51553000000000004</v>
      </c>
      <c r="BQ205">
        <f t="shared" si="64"/>
        <v>0.36641999999999997</v>
      </c>
      <c r="BR205">
        <f t="shared" si="65"/>
        <v>0.21731</v>
      </c>
      <c r="BS205" s="8">
        <f>($AB205*BO205+$AB206*BO206+$AB207*BO207)/100</f>
        <v>0.29547874999999996</v>
      </c>
      <c r="BT205" s="90">
        <f>($AB205*BP205+$AB206*BP206+$AB207*BP207)/100</f>
        <v>0.55994749999999993</v>
      </c>
      <c r="BU205" s="8">
        <f>($AB205*BQ205+$AB206*BQ206+$AB207*BQ207)/100</f>
        <v>0.38363499999999995</v>
      </c>
      <c r="BV205" s="90">
        <f>($AB205*BR205+$AB206*BR206+$AB207*BR207)/100</f>
        <v>0.20732249999999999</v>
      </c>
      <c r="BW205" s="4">
        <f t="shared" si="60"/>
        <v>544</v>
      </c>
    </row>
    <row r="206" spans="1:75" thickTop="1" thickBot="1" x14ac:dyDescent="0.3">
      <c r="A206" s="4">
        <v>544</v>
      </c>
      <c r="B206" s="2">
        <v>55</v>
      </c>
      <c r="C206" s="2">
        <v>4</v>
      </c>
      <c r="E206" s="1">
        <v>134</v>
      </c>
      <c r="F206" s="1">
        <v>10</v>
      </c>
      <c r="G206" s="3">
        <f t="shared" si="66"/>
        <v>124</v>
      </c>
      <c r="I206" s="2">
        <v>62</v>
      </c>
      <c r="J206" s="3">
        <f t="shared" si="52"/>
        <v>-81.5625</v>
      </c>
      <c r="K206" s="6">
        <f t="shared" si="67"/>
        <v>162</v>
      </c>
      <c r="O206" s="8">
        <v>0.154</v>
      </c>
      <c r="P206" s="9">
        <v>8.1000000000000003E-2</v>
      </c>
      <c r="R206" s="10">
        <v>90</v>
      </c>
      <c r="S206" s="11">
        <v>20</v>
      </c>
      <c r="T206" s="12">
        <v>800</v>
      </c>
      <c r="V206" s="7">
        <v>0</v>
      </c>
      <c r="W206" s="13" t="e">
        <f>SQRT(0.1^2+0.1^2+1/V206)*100</f>
        <v>#DIV/0!</v>
      </c>
      <c r="Y206" s="56">
        <v>321</v>
      </c>
      <c r="Z206" s="13">
        <f t="shared" si="61"/>
        <v>0.1520370507393109</v>
      </c>
      <c r="AB206" s="72">
        <v>85</v>
      </c>
      <c r="AC206" s="72">
        <v>85</v>
      </c>
      <c r="AE206" s="5">
        <f t="shared" si="62"/>
        <v>544</v>
      </c>
      <c r="AG206" s="56"/>
      <c r="AK206" s="2">
        <v>1400</v>
      </c>
      <c r="AL206" s="7">
        <f t="shared" si="55"/>
        <v>0.126</v>
      </c>
      <c r="AM206" s="8">
        <f t="shared" si="56"/>
        <v>2.7999999999999997E-2</v>
      </c>
      <c r="AN206" s="56">
        <f t="shared" si="57"/>
        <v>2.7999999999999997E-2</v>
      </c>
      <c r="AO206" s="9">
        <f t="shared" si="58"/>
        <v>5.3000000000000005E-2</v>
      </c>
      <c r="AX206" s="147"/>
      <c r="BO206">
        <f t="shared" si="63"/>
        <v>0.30002499999999999</v>
      </c>
      <c r="BP206">
        <f t="shared" si="59"/>
        <v>0.57204999999999995</v>
      </c>
      <c r="BQ206">
        <f t="shared" si="64"/>
        <v>0.39069999999999999</v>
      </c>
      <c r="BR206">
        <f t="shared" si="65"/>
        <v>0.20935000000000001</v>
      </c>
      <c r="BS206" s="8"/>
      <c r="BT206" s="90"/>
      <c r="BU206" s="8"/>
      <c r="BV206" s="90"/>
      <c r="BW206" s="4">
        <f t="shared" si="60"/>
        <v>544</v>
      </c>
    </row>
    <row r="207" spans="1:75" s="27" customFormat="1" thickTop="1" thickBot="1" x14ac:dyDescent="0.3">
      <c r="A207" s="21">
        <v>544</v>
      </c>
      <c r="B207" s="22">
        <v>55</v>
      </c>
      <c r="C207" s="22">
        <v>4</v>
      </c>
      <c r="D207" s="23"/>
      <c r="E207" s="24">
        <v>134</v>
      </c>
      <c r="F207" s="24">
        <v>10</v>
      </c>
      <c r="G207" s="25">
        <f t="shared" si="66"/>
        <v>124</v>
      </c>
      <c r="H207" s="23"/>
      <c r="I207" s="22">
        <v>114</v>
      </c>
      <c r="J207" s="3">
        <f t="shared" si="52"/>
        <v>-83.92137096774195</v>
      </c>
      <c r="K207" s="26">
        <f t="shared" si="67"/>
        <v>162</v>
      </c>
      <c r="L207" s="23"/>
      <c r="N207" s="23"/>
      <c r="O207" s="28">
        <v>0.111</v>
      </c>
      <c r="P207" s="29">
        <v>8.8999999999999996E-2</v>
      </c>
      <c r="Q207" s="23"/>
      <c r="R207" s="30">
        <v>73</v>
      </c>
      <c r="S207" s="31">
        <v>30</v>
      </c>
      <c r="T207" s="32">
        <v>700</v>
      </c>
      <c r="U207" s="23"/>
      <c r="V207" s="33">
        <v>133</v>
      </c>
      <c r="W207" s="75">
        <f>SQRT(0.1^2+0.1^2+1/V207)*100</f>
        <v>16.58879049011145</v>
      </c>
      <c r="X207" s="5"/>
      <c r="Y207" s="55">
        <v>301</v>
      </c>
      <c r="Z207" s="34">
        <f t="shared" si="61"/>
        <v>0.15271627004419872</v>
      </c>
      <c r="AB207" s="27">
        <v>10</v>
      </c>
      <c r="AC207" s="27">
        <v>10</v>
      </c>
      <c r="AE207" s="5">
        <f t="shared" si="62"/>
        <v>544</v>
      </c>
      <c r="AF207" s="28"/>
      <c r="AG207" s="55"/>
      <c r="AH207" s="3"/>
      <c r="AJ207" s="5"/>
      <c r="AK207" s="2">
        <v>1000</v>
      </c>
      <c r="AL207" s="7">
        <f t="shared" si="55"/>
        <v>7.2999999999999995E-2</v>
      </c>
      <c r="AM207" s="8">
        <f t="shared" si="56"/>
        <v>3.8000000000000006E-2</v>
      </c>
      <c r="AN207" s="56">
        <f t="shared" si="57"/>
        <v>0.03</v>
      </c>
      <c r="AO207" s="9">
        <f t="shared" si="58"/>
        <v>5.8999999999999997E-2</v>
      </c>
      <c r="AP207" s="5"/>
      <c r="AQ207" s="91"/>
      <c r="AR207" s="5"/>
      <c r="AS207" s="96"/>
      <c r="AT207" s="5"/>
      <c r="AU207" s="30"/>
      <c r="AV207" s="31"/>
      <c r="AW207" s="32"/>
      <c r="AX207" s="147"/>
      <c r="BN207" s="5"/>
      <c r="BO207">
        <f t="shared" si="63"/>
        <v>0.2586425</v>
      </c>
      <c r="BP207">
        <f t="shared" si="59"/>
        <v>0.47928499999999996</v>
      </c>
      <c r="BQ207">
        <f t="shared" si="64"/>
        <v>0.33218999999999999</v>
      </c>
      <c r="BR207">
        <f t="shared" si="65"/>
        <v>0.18509500000000001</v>
      </c>
      <c r="BS207" s="28"/>
      <c r="BT207" s="91"/>
      <c r="BU207" s="28"/>
      <c r="BV207" s="91"/>
      <c r="BW207" s="4">
        <f t="shared" si="60"/>
        <v>544</v>
      </c>
    </row>
    <row r="208" spans="1:75" thickTop="1" thickBot="1" x14ac:dyDescent="0.3">
      <c r="A208" s="15">
        <v>545</v>
      </c>
      <c r="B208" s="16">
        <v>55</v>
      </c>
      <c r="C208" s="16">
        <v>5</v>
      </c>
      <c r="D208" s="17"/>
      <c r="E208" s="1">
        <v>134</v>
      </c>
      <c r="F208" s="1">
        <v>12</v>
      </c>
      <c r="G208" s="18">
        <f t="shared" si="66"/>
        <v>122</v>
      </c>
      <c r="H208" s="17"/>
      <c r="I208" s="19">
        <v>13</v>
      </c>
      <c r="J208" s="3">
        <f t="shared" ref="J208:J271" si="68">225-5.625*(B208-0.5+(I208-0.5*G208)/G208)</f>
        <v>-79.349385245901601</v>
      </c>
      <c r="K208" s="20">
        <f t="shared" si="67"/>
        <v>174</v>
      </c>
      <c r="L208" s="17"/>
      <c r="N208" s="17"/>
      <c r="O208" s="8">
        <v>0.107</v>
      </c>
      <c r="P208" s="9">
        <v>4.4999999999999998E-2</v>
      </c>
      <c r="Q208" s="17"/>
      <c r="R208" s="10">
        <v>63</v>
      </c>
      <c r="S208" s="11">
        <v>36</v>
      </c>
      <c r="T208" s="12">
        <v>900</v>
      </c>
      <c r="U208" s="17"/>
      <c r="V208" s="7">
        <v>112</v>
      </c>
      <c r="W208" s="74">
        <f t="shared" ref="W208:W271" si="69">SQRT(0.1^2+0.1^2+1/V208)*100</f>
        <v>17.008401285415225</v>
      </c>
      <c r="Y208" s="56">
        <v>186</v>
      </c>
      <c r="Z208" s="13">
        <f t="shared" si="61"/>
        <v>0.15929954201447508</v>
      </c>
      <c r="AB208" s="72">
        <v>5</v>
      </c>
      <c r="AC208" s="72">
        <v>5</v>
      </c>
      <c r="AE208" s="5">
        <f t="shared" si="62"/>
        <v>545</v>
      </c>
      <c r="AF208" s="8">
        <f>(O208*AB208+O209*AB209+O210*AB210+O211*AB211+O212*AB212+O213*AB213)/100</f>
        <v>8.77E-2</v>
      </c>
      <c r="AG208" s="56">
        <f>(P208*AC208+P209*AC209+P210*AC210+P211*AC211+P212*AC212+P213*AC213)/100</f>
        <v>5.2474999999999994E-2</v>
      </c>
      <c r="AH208" s="3">
        <f>225-5.625*($B208-0.5)</f>
        <v>-81.5625</v>
      </c>
      <c r="AI208">
        <f>K208</f>
        <v>174</v>
      </c>
      <c r="AK208" s="2">
        <v>1000</v>
      </c>
      <c r="AL208" s="7">
        <f t="shared" si="55"/>
        <v>6.3E-2</v>
      </c>
      <c r="AM208" s="8">
        <f t="shared" si="56"/>
        <v>4.3999999999999997E-2</v>
      </c>
      <c r="AN208" s="56">
        <f t="shared" si="57"/>
        <v>3.5999999999999997E-2</v>
      </c>
      <c r="AO208" s="9">
        <f t="shared" si="58"/>
        <v>9.0000000000000011E-3</v>
      </c>
      <c r="AQ208" s="90">
        <f>($AB208*AM208+$AB209*AM209+$AB210*AM210+$AB211*AM211+$AB212*AM212+$AB213*AM213)/100</f>
        <v>2.2145000000000005E-2</v>
      </c>
      <c r="AS208" s="95">
        <f>($AB208*AO208+$AB209*AO209+$AB210*AO210+$AB211*AO211+$AB212*AO212+$AB213*AO213)/100</f>
        <v>2.7552500000000001E-2</v>
      </c>
      <c r="AU208" s="10">
        <f>($AB208*R208+$AB209*R209+$AB210*R210+$AB211*R211+$AB212*R212+$AB213*R213)/100</f>
        <v>82.075000000000003</v>
      </c>
      <c r="AV208" s="11">
        <f>($AB208*S208+$AB209*S209+$AB210*S210+$AB211*S211+$AB212*S212+$AB213*S213)/100</f>
        <v>29.774999999999999</v>
      </c>
      <c r="AW208" s="12">
        <f>($AB208*T208+$AB209*T209+$AB210*T210+$AB211*T211+$AB212*T212+$AB213*T213)/100</f>
        <v>1085</v>
      </c>
      <c r="AX208" s="147">
        <f>($AB208*AK208+$AB209*AK209+$AB210*AK210+$AB211*AK211+$AB212*AK212+$AB213*AK213)/100</f>
        <v>802.5</v>
      </c>
      <c r="BO208">
        <f t="shared" si="63"/>
        <v>0.2344175</v>
      </c>
      <c r="BP208">
        <f t="shared" si="59"/>
        <v>0.42483499999999996</v>
      </c>
      <c r="BQ208">
        <f t="shared" si="64"/>
        <v>0.29788999999999999</v>
      </c>
      <c r="BR208">
        <f t="shared" si="65"/>
        <v>0.17094500000000001</v>
      </c>
      <c r="BS208" s="8">
        <f>($AB208*BO208+$AB209*BO209+$AB210*BO210+$AB211*BO211+$AB212*BO212+$AB213*BO213)/100</f>
        <v>0.2702166875</v>
      </c>
      <c r="BT208" s="90">
        <f>($AB208*BP208+$AB209*BP209+$AB210*BP210+$AB211*BP211+$AB212*BP212+$AB213*BP213)/100</f>
        <v>0.51828837500000002</v>
      </c>
      <c r="BU208" s="8">
        <f>($AB208*BQ208+$AB209*BQ209+$AB210*BQ210+$AB211*BQ211+$AB212*BQ212+$AB213*BQ213)/100</f>
        <v>0.35290724999999995</v>
      </c>
      <c r="BV208" s="90">
        <f>($AB208*BR208+$AB209*BR209+$AB210*BR210+$AB211*BR211+$AB212*BR212+$AB213*BR213)/100</f>
        <v>0.18752612499999999</v>
      </c>
      <c r="BW208" s="4">
        <f t="shared" si="60"/>
        <v>545</v>
      </c>
    </row>
    <row r="209" spans="1:75" thickTop="1" thickBot="1" x14ac:dyDescent="0.3">
      <c r="A209" s="4">
        <v>545</v>
      </c>
      <c r="B209" s="2">
        <v>55</v>
      </c>
      <c r="C209" s="2">
        <v>5</v>
      </c>
      <c r="E209" s="1">
        <v>134</v>
      </c>
      <c r="F209" s="1">
        <v>12</v>
      </c>
      <c r="G209" s="3">
        <f t="shared" ref="G209:G272" si="70">E209-F209</f>
        <v>122</v>
      </c>
      <c r="I209" s="2">
        <v>33</v>
      </c>
      <c r="J209" s="3">
        <f t="shared" si="68"/>
        <v>-80.271516393442596</v>
      </c>
      <c r="K209" s="6">
        <f t="shared" ref="K209:K272" si="71">120+12*(C209-0.5)</f>
        <v>174</v>
      </c>
      <c r="O209" s="8">
        <v>0.124</v>
      </c>
      <c r="P209" s="9">
        <v>7.0999999999999994E-2</v>
      </c>
      <c r="R209" s="10">
        <v>81</v>
      </c>
      <c r="S209" s="11">
        <v>40</v>
      </c>
      <c r="T209" s="12">
        <v>1000</v>
      </c>
      <c r="V209" s="7">
        <v>140</v>
      </c>
      <c r="W209" s="74">
        <f t="shared" si="69"/>
        <v>16.47508942095828</v>
      </c>
      <c r="Y209" s="56">
        <v>243</v>
      </c>
      <c r="Z209" s="13">
        <f t="shared" si="61"/>
        <v>0.15529077994990098</v>
      </c>
      <c r="AB209">
        <f t="shared" ref="AB209:AC212" si="72">90/4</f>
        <v>22.5</v>
      </c>
      <c r="AC209">
        <f t="shared" si="72"/>
        <v>22.5</v>
      </c>
      <c r="AE209" s="5">
        <f t="shared" si="62"/>
        <v>545</v>
      </c>
      <c r="AG209" s="56"/>
      <c r="AK209" s="2">
        <v>1100</v>
      </c>
      <c r="AL209" s="7">
        <f t="shared" si="55"/>
        <v>8.9099999999999999E-2</v>
      </c>
      <c r="AM209" s="8">
        <f t="shared" si="56"/>
        <v>3.49E-2</v>
      </c>
      <c r="AN209" s="56">
        <f t="shared" si="57"/>
        <v>4.3999999999999997E-2</v>
      </c>
      <c r="AO209" s="9">
        <f t="shared" si="58"/>
        <v>2.6999999999999996E-2</v>
      </c>
      <c r="AX209" s="147"/>
      <c r="BO209">
        <f t="shared" si="63"/>
        <v>0.27972249999999999</v>
      </c>
      <c r="BP209">
        <f t="shared" si="59"/>
        <v>0.52454500000000004</v>
      </c>
      <c r="BQ209">
        <f t="shared" si="64"/>
        <v>0.36133000000000004</v>
      </c>
      <c r="BR209">
        <f t="shared" si="65"/>
        <v>0.19811499999999999</v>
      </c>
      <c r="BS209" s="8"/>
      <c r="BT209" s="90"/>
      <c r="BU209" s="8"/>
      <c r="BV209" s="90"/>
      <c r="BW209" s="4">
        <f t="shared" si="60"/>
        <v>545</v>
      </c>
    </row>
    <row r="210" spans="1:75" thickTop="1" thickBot="1" x14ac:dyDescent="0.3">
      <c r="A210" s="4">
        <v>545</v>
      </c>
      <c r="B210" s="93">
        <v>55</v>
      </c>
      <c r="C210" s="93">
        <v>5</v>
      </c>
      <c r="E210" s="1">
        <v>134</v>
      </c>
      <c r="F210" s="1">
        <v>12</v>
      </c>
      <c r="G210" s="3">
        <f t="shared" si="70"/>
        <v>122</v>
      </c>
      <c r="I210" s="2">
        <v>53</v>
      </c>
      <c r="J210" s="3">
        <f t="shared" si="68"/>
        <v>-81.193647540983591</v>
      </c>
      <c r="K210" s="6">
        <f t="shared" si="71"/>
        <v>174</v>
      </c>
      <c r="O210" s="8">
        <v>7.8E-2</v>
      </c>
      <c r="P210" s="9">
        <v>0.05</v>
      </c>
      <c r="R210" s="10">
        <v>43</v>
      </c>
      <c r="S210" s="11">
        <v>28</v>
      </c>
      <c r="T210" s="12">
        <v>1300</v>
      </c>
      <c r="V210" s="7">
        <v>85</v>
      </c>
      <c r="W210" s="74">
        <f t="shared" si="69"/>
        <v>17.822655773580141</v>
      </c>
      <c r="Y210" s="56">
        <v>171</v>
      </c>
      <c r="Z210" s="13">
        <f t="shared" si="61"/>
        <v>0.16077298658784153</v>
      </c>
      <c r="AB210">
        <f t="shared" si="72"/>
        <v>22.5</v>
      </c>
      <c r="AC210">
        <f t="shared" si="72"/>
        <v>22.5</v>
      </c>
      <c r="AE210" s="5">
        <f t="shared" si="62"/>
        <v>545</v>
      </c>
      <c r="AG210" s="56"/>
      <c r="AK210" s="2">
        <v>700</v>
      </c>
      <c r="AL210" s="7">
        <f t="shared" si="55"/>
        <v>3.0099999999999998E-2</v>
      </c>
      <c r="AM210" s="8">
        <f t="shared" si="56"/>
        <v>4.7899999999999998E-2</v>
      </c>
      <c r="AN210" s="56">
        <f t="shared" si="57"/>
        <v>1.9599999999999999E-2</v>
      </c>
      <c r="AO210" s="9">
        <f t="shared" si="58"/>
        <v>3.0400000000000003E-2</v>
      </c>
      <c r="AX210" s="147"/>
      <c r="BO210">
        <f t="shared" si="63"/>
        <v>0.17786750000000001</v>
      </c>
      <c r="BP210">
        <f t="shared" si="59"/>
        <v>0.30783500000000003</v>
      </c>
      <c r="BQ210">
        <f t="shared" si="64"/>
        <v>0.22119</v>
      </c>
      <c r="BR210">
        <f t="shared" si="65"/>
        <v>0.134545</v>
      </c>
      <c r="BS210" s="8"/>
      <c r="BT210" s="90"/>
      <c r="BU210" s="8"/>
      <c r="BV210" s="90"/>
      <c r="BW210" s="4">
        <f t="shared" si="60"/>
        <v>545</v>
      </c>
    </row>
    <row r="211" spans="1:75" thickTop="1" thickBot="1" x14ac:dyDescent="0.3">
      <c r="A211" s="4">
        <v>545</v>
      </c>
      <c r="B211" s="93">
        <v>55</v>
      </c>
      <c r="C211" s="93">
        <v>5</v>
      </c>
      <c r="E211" s="1">
        <v>134</v>
      </c>
      <c r="F211" s="1">
        <v>12</v>
      </c>
      <c r="G211" s="3">
        <f t="shared" si="70"/>
        <v>122</v>
      </c>
      <c r="I211" s="2">
        <v>73</v>
      </c>
      <c r="J211" s="3">
        <f t="shared" si="68"/>
        <v>-82.115778688524586</v>
      </c>
      <c r="K211" s="6">
        <f t="shared" si="71"/>
        <v>174</v>
      </c>
      <c r="O211" s="8">
        <v>0.05</v>
      </c>
      <c r="P211" s="9">
        <v>4.1000000000000002E-2</v>
      </c>
      <c r="R211" s="10">
        <v>72</v>
      </c>
      <c r="S211" s="11">
        <v>30</v>
      </c>
      <c r="T211" s="12">
        <v>1000</v>
      </c>
      <c r="V211" s="7">
        <v>0</v>
      </c>
      <c r="W211" s="74" t="e">
        <f t="shared" si="69"/>
        <v>#DIV/0!</v>
      </c>
      <c r="Y211" s="56">
        <v>147</v>
      </c>
      <c r="Z211" s="13">
        <f t="shared" si="61"/>
        <v>0.16371536607305798</v>
      </c>
      <c r="AB211">
        <f t="shared" si="72"/>
        <v>22.5</v>
      </c>
      <c r="AC211">
        <f t="shared" si="72"/>
        <v>22.5</v>
      </c>
      <c r="AE211" s="5">
        <f t="shared" si="62"/>
        <v>545</v>
      </c>
      <c r="AG211" s="56"/>
      <c r="AK211" s="2">
        <v>700</v>
      </c>
      <c r="AL211" s="7">
        <f t="shared" si="55"/>
        <v>5.04E-2</v>
      </c>
      <c r="AM211" s="8">
        <f t="shared" si="56"/>
        <v>-3.9999999999999758E-4</v>
      </c>
      <c r="AN211" s="56">
        <f t="shared" si="57"/>
        <v>2.0999999999999998E-2</v>
      </c>
      <c r="AO211" s="9">
        <f t="shared" si="58"/>
        <v>2.0000000000000004E-2</v>
      </c>
      <c r="AX211" s="147"/>
      <c r="BO211">
        <f t="shared" si="63"/>
        <v>0.21722000000000002</v>
      </c>
      <c r="BP211">
        <f t="shared" si="59"/>
        <v>0.43484</v>
      </c>
      <c r="BQ211">
        <f t="shared" si="64"/>
        <v>0.28976000000000002</v>
      </c>
      <c r="BR211">
        <f t="shared" si="65"/>
        <v>0.14468</v>
      </c>
      <c r="BS211" s="8"/>
      <c r="BT211" s="90"/>
      <c r="BU211" s="8"/>
      <c r="BV211" s="90"/>
      <c r="BW211" s="4">
        <f t="shared" si="60"/>
        <v>545</v>
      </c>
    </row>
    <row r="212" spans="1:75" thickTop="1" thickBot="1" x14ac:dyDescent="0.3">
      <c r="A212" s="4">
        <v>545</v>
      </c>
      <c r="B212" s="2">
        <v>55</v>
      </c>
      <c r="C212" s="2">
        <v>5</v>
      </c>
      <c r="E212" s="1">
        <v>134</v>
      </c>
      <c r="F212" s="1">
        <v>12</v>
      </c>
      <c r="G212" s="3">
        <f t="shared" si="70"/>
        <v>122</v>
      </c>
      <c r="I212" s="2">
        <v>93</v>
      </c>
      <c r="J212" s="3">
        <f t="shared" si="68"/>
        <v>-83.03790983606558</v>
      </c>
      <c r="K212" s="6">
        <f t="shared" si="71"/>
        <v>174</v>
      </c>
      <c r="O212" s="8">
        <v>9.8000000000000004E-2</v>
      </c>
      <c r="P212" s="9">
        <v>5.2999999999999999E-2</v>
      </c>
      <c r="R212" s="10">
        <v>143</v>
      </c>
      <c r="S212" s="11">
        <v>21</v>
      </c>
      <c r="T212" s="12">
        <v>1100</v>
      </c>
      <c r="V212" s="7">
        <v>0</v>
      </c>
      <c r="W212" s="74" t="e">
        <f t="shared" si="69"/>
        <v>#DIV/0!</v>
      </c>
      <c r="Y212" s="56">
        <v>156</v>
      </c>
      <c r="Z212" s="13">
        <f t="shared" si="61"/>
        <v>0.16251232694862386</v>
      </c>
      <c r="AB212">
        <f t="shared" si="72"/>
        <v>22.5</v>
      </c>
      <c r="AC212">
        <f t="shared" si="72"/>
        <v>22.5</v>
      </c>
      <c r="AE212" s="5">
        <f t="shared" si="62"/>
        <v>545</v>
      </c>
      <c r="AG212" s="56"/>
      <c r="AK212" s="2">
        <v>700</v>
      </c>
      <c r="AL212" s="7">
        <f t="shared" si="55"/>
        <v>0.10009999999999999</v>
      </c>
      <c r="AM212" s="8">
        <f t="shared" si="56"/>
        <v>-2.0999999999999908E-3</v>
      </c>
      <c r="AN212" s="56">
        <f t="shared" si="57"/>
        <v>1.47E-2</v>
      </c>
      <c r="AO212" s="9">
        <f t="shared" si="58"/>
        <v>3.8300000000000001E-2</v>
      </c>
      <c r="AX212" s="147"/>
      <c r="BO212">
        <f t="shared" si="63"/>
        <v>0.43011750000000004</v>
      </c>
      <c r="BP212">
        <f t="shared" si="59"/>
        <v>0.86233499999999996</v>
      </c>
      <c r="BQ212">
        <f t="shared" si="64"/>
        <v>0.57418999999999998</v>
      </c>
      <c r="BR212">
        <f t="shared" si="65"/>
        <v>0.28604499999999999</v>
      </c>
      <c r="BS212" s="8"/>
      <c r="BT212" s="90"/>
      <c r="BU212" s="8"/>
      <c r="BV212" s="90"/>
      <c r="BW212" s="4">
        <f t="shared" si="60"/>
        <v>545</v>
      </c>
    </row>
    <row r="213" spans="1:75" s="27" customFormat="1" thickTop="1" thickBot="1" x14ac:dyDescent="0.3">
      <c r="A213" s="21">
        <v>545</v>
      </c>
      <c r="B213" s="22">
        <v>55</v>
      </c>
      <c r="C213" s="22">
        <v>5</v>
      </c>
      <c r="D213" s="23"/>
      <c r="E213" s="24">
        <v>134</v>
      </c>
      <c r="F213" s="24">
        <v>12</v>
      </c>
      <c r="G213" s="25">
        <f t="shared" si="70"/>
        <v>122</v>
      </c>
      <c r="H213" s="23"/>
      <c r="I213" s="22">
        <v>113</v>
      </c>
      <c r="J213" s="3">
        <f t="shared" si="68"/>
        <v>-83.960040983606575</v>
      </c>
      <c r="K213" s="26">
        <f t="shared" si="71"/>
        <v>174</v>
      </c>
      <c r="L213" s="23"/>
      <c r="N213" s="23"/>
      <c r="O213" s="28">
        <v>7.1999999999999995E-2</v>
      </c>
      <c r="P213" s="29">
        <v>3.6999999999999998E-2</v>
      </c>
      <c r="Q213" s="23"/>
      <c r="R213" s="30">
        <v>53</v>
      </c>
      <c r="S213" s="31">
        <v>24</v>
      </c>
      <c r="T213" s="32">
        <v>1000</v>
      </c>
      <c r="U213" s="23"/>
      <c r="V213" s="33">
        <v>78</v>
      </c>
      <c r="W213" s="75">
        <f t="shared" si="69"/>
        <v>18.116432546313533</v>
      </c>
      <c r="X213" s="5"/>
      <c r="Y213" s="55">
        <v>115</v>
      </c>
      <c r="Z213" s="34">
        <f t="shared" si="61"/>
        <v>0.16939791077198399</v>
      </c>
      <c r="AB213" s="27">
        <v>5</v>
      </c>
      <c r="AC213" s="27">
        <v>5</v>
      </c>
      <c r="AE213" s="5">
        <f t="shared" si="62"/>
        <v>545</v>
      </c>
      <c r="AF213" s="28"/>
      <c r="AG213" s="55"/>
      <c r="AH213" s="3"/>
      <c r="AJ213" s="5"/>
      <c r="AK213" s="2">
        <v>650</v>
      </c>
      <c r="AL213" s="7">
        <f t="shared" si="55"/>
        <v>3.4450000000000001E-2</v>
      </c>
      <c r="AM213" s="8">
        <f t="shared" si="56"/>
        <v>3.7549999999999993E-2</v>
      </c>
      <c r="AN213" s="56">
        <f t="shared" si="57"/>
        <v>1.5599999999999999E-2</v>
      </c>
      <c r="AO213" s="9">
        <f t="shared" si="58"/>
        <v>2.1399999999999999E-2</v>
      </c>
      <c r="AP213" s="5"/>
      <c r="AQ213" s="91"/>
      <c r="AR213" s="5"/>
      <c r="AS213" s="96"/>
      <c r="AT213" s="5"/>
      <c r="AU213" s="30"/>
      <c r="AV213" s="31"/>
      <c r="AW213" s="32"/>
      <c r="AX213" s="147"/>
      <c r="BN213" s="5"/>
      <c r="BO213">
        <f t="shared" si="63"/>
        <v>0.19774249999999999</v>
      </c>
      <c r="BP213">
        <f t="shared" si="59"/>
        <v>0.357935</v>
      </c>
      <c r="BQ213">
        <f t="shared" si="64"/>
        <v>0.25113999999999997</v>
      </c>
      <c r="BR213">
        <f t="shared" si="65"/>
        <v>0.144345</v>
      </c>
      <c r="BS213" s="28"/>
      <c r="BT213" s="91"/>
      <c r="BU213" s="28"/>
      <c r="BV213" s="91"/>
      <c r="BW213" s="4">
        <f t="shared" si="60"/>
        <v>545</v>
      </c>
    </row>
    <row r="214" spans="1:75" thickTop="1" thickBot="1" x14ac:dyDescent="0.3">
      <c r="A214" s="15">
        <v>615</v>
      </c>
      <c r="B214" s="16">
        <v>60</v>
      </c>
      <c r="C214" s="16">
        <v>5</v>
      </c>
      <c r="D214" s="17"/>
      <c r="E214" s="1">
        <v>134</v>
      </c>
      <c r="F214" s="1">
        <v>13</v>
      </c>
      <c r="G214" s="18">
        <f t="shared" si="70"/>
        <v>121</v>
      </c>
      <c r="H214" s="17"/>
      <c r="I214" s="19">
        <v>10</v>
      </c>
      <c r="J214" s="3">
        <f t="shared" si="68"/>
        <v>-107.33987603305786</v>
      </c>
      <c r="K214" s="20">
        <f t="shared" si="71"/>
        <v>174</v>
      </c>
      <c r="L214" s="17"/>
      <c r="N214" s="17"/>
      <c r="O214" s="8">
        <v>6.9000000000000006E-2</v>
      </c>
      <c r="P214" s="9">
        <v>4.2000000000000003E-2</v>
      </c>
      <c r="Q214" s="17"/>
      <c r="R214" s="10">
        <v>74</v>
      </c>
      <c r="S214" s="11">
        <v>23</v>
      </c>
      <c r="T214" s="12">
        <v>1700</v>
      </c>
      <c r="U214" s="17"/>
      <c r="V214" s="7">
        <v>95</v>
      </c>
      <c r="W214" s="74">
        <f t="shared" si="69"/>
        <v>17.471781760734562</v>
      </c>
      <c r="Y214" s="56">
        <v>204</v>
      </c>
      <c r="Z214" s="13">
        <f t="shared" si="61"/>
        <v>0.15780355124113565</v>
      </c>
      <c r="AB214">
        <v>10</v>
      </c>
      <c r="AC214">
        <v>10</v>
      </c>
      <c r="AE214" s="5">
        <f t="shared" si="62"/>
        <v>615</v>
      </c>
      <c r="AF214" s="8">
        <f>(O214*AB214+O215*AB215+O216*AB216)/100</f>
        <v>6.6300000000000012E-2</v>
      </c>
      <c r="AG214" s="56">
        <f>(P214*AC214+P215*AC215+P216*AC216)/100</f>
        <v>3.7949999999999998E-2</v>
      </c>
      <c r="AH214" s="3">
        <f>225-5.625*($B214-0.5)</f>
        <v>-109.6875</v>
      </c>
      <c r="AI214">
        <f>K214</f>
        <v>174</v>
      </c>
      <c r="AK214" s="2">
        <v>700</v>
      </c>
      <c r="AL214" s="7">
        <f t="shared" si="55"/>
        <v>5.1799999999999999E-2</v>
      </c>
      <c r="AM214" s="8">
        <f t="shared" si="56"/>
        <v>1.7200000000000007E-2</v>
      </c>
      <c r="AN214" s="56">
        <f t="shared" si="57"/>
        <v>1.61E-2</v>
      </c>
      <c r="AO214" s="9">
        <f t="shared" si="58"/>
        <v>2.5900000000000003E-2</v>
      </c>
      <c r="AQ214" s="90">
        <f>($AB214*AM214+$AB215*AM215+$AB216*AM216)/100</f>
        <v>-3.0499999999999196E-4</v>
      </c>
      <c r="AS214" s="95">
        <f>($AB214*AO214+$AB215*AO215+$AB216*AO216)/100</f>
        <v>1.8384999999999999E-2</v>
      </c>
      <c r="AU214" s="10">
        <f>($AB214*R214+$AB215*R215+$AB216*R216)/100</f>
        <v>95.15</v>
      </c>
      <c r="AV214" s="11">
        <f>($AB214*S214+$AB215*S215+$AB216*S216)/100</f>
        <v>27.95</v>
      </c>
      <c r="AW214" s="12">
        <f>($AB214*T214+$AB215*T215+$AB216*T216)/100</f>
        <v>1610</v>
      </c>
      <c r="AX214" s="147">
        <f>($AB214*AK214+$AB215*AK215+$AB216*AK216)/100</f>
        <v>700</v>
      </c>
      <c r="BO214">
        <f t="shared" si="63"/>
        <v>0.240865</v>
      </c>
      <c r="BP214">
        <f t="shared" si="59"/>
        <v>0.46453</v>
      </c>
      <c r="BQ214">
        <f t="shared" si="64"/>
        <v>0.31542000000000003</v>
      </c>
      <c r="BR214">
        <f t="shared" si="65"/>
        <v>0.16631000000000001</v>
      </c>
      <c r="BS214" s="8">
        <f>($AB214*BO214+$AB215*BO215+$AB216*BO216)/100</f>
        <v>0.28728587500000002</v>
      </c>
      <c r="BT214" s="90">
        <f>($AB214*BP214+$AB215*BP215+$AB216*BP216)/100</f>
        <v>0.57487674999999994</v>
      </c>
      <c r="BU214" s="8">
        <f>($AB214*BQ214+$AB215*BQ215+$AB216*BQ216)/100</f>
        <v>0.38314949999999998</v>
      </c>
      <c r="BV214" s="90">
        <f>($AB214*BR214+$AB215*BR215+$AB216*BR216)/100</f>
        <v>0.19142224999999999</v>
      </c>
      <c r="BW214" s="4">
        <f t="shared" si="60"/>
        <v>615</v>
      </c>
    </row>
    <row r="215" spans="1:75" thickTop="1" thickBot="1" x14ac:dyDescent="0.3">
      <c r="A215" s="4">
        <v>615</v>
      </c>
      <c r="B215" s="93">
        <v>60</v>
      </c>
      <c r="C215" s="93">
        <v>5</v>
      </c>
      <c r="E215" s="1">
        <v>134</v>
      </c>
      <c r="F215" s="1">
        <v>13</v>
      </c>
      <c r="G215" s="3">
        <f t="shared" si="70"/>
        <v>121</v>
      </c>
      <c r="I215" s="2">
        <v>61</v>
      </c>
      <c r="J215" s="3">
        <f t="shared" si="68"/>
        <v>-109.71074380165288</v>
      </c>
      <c r="K215" s="6">
        <f t="shared" si="71"/>
        <v>174</v>
      </c>
      <c r="O215" s="8">
        <v>6.9000000000000006E-2</v>
      </c>
      <c r="P215" s="9">
        <v>4.2999999999999997E-2</v>
      </c>
      <c r="R215" s="10">
        <v>86</v>
      </c>
      <c r="S215" s="11">
        <v>24</v>
      </c>
      <c r="T215" s="12">
        <v>1600</v>
      </c>
      <c r="V215" s="7">
        <v>0</v>
      </c>
      <c r="W215" s="74" t="e">
        <f t="shared" si="69"/>
        <v>#DIV/0!</v>
      </c>
      <c r="Y215" s="56">
        <v>204</v>
      </c>
      <c r="Z215" s="13">
        <f t="shared" si="61"/>
        <v>0.15780355124113565</v>
      </c>
      <c r="AB215">
        <v>45</v>
      </c>
      <c r="AC215">
        <v>45</v>
      </c>
      <c r="AE215" s="5">
        <f t="shared" si="62"/>
        <v>615</v>
      </c>
      <c r="AG215" s="56"/>
      <c r="AK215" s="2">
        <v>700</v>
      </c>
      <c r="AL215" s="7">
        <f t="shared" si="55"/>
        <v>6.0199999999999997E-2</v>
      </c>
      <c r="AM215" s="8">
        <f t="shared" si="56"/>
        <v>8.8000000000000092E-3</v>
      </c>
      <c r="AN215" s="56">
        <f t="shared" si="57"/>
        <v>1.6799999999999999E-2</v>
      </c>
      <c r="AO215" s="9">
        <f t="shared" si="58"/>
        <v>2.6199999999999998E-2</v>
      </c>
      <c r="AX215" s="147"/>
      <c r="BO215">
        <f t="shared" si="63"/>
        <v>0.268735</v>
      </c>
      <c r="BP215">
        <f t="shared" si="59"/>
        <v>0.52866999999999997</v>
      </c>
      <c r="BQ215">
        <f t="shared" si="64"/>
        <v>0.35538000000000003</v>
      </c>
      <c r="BR215">
        <f t="shared" si="65"/>
        <v>0.18209</v>
      </c>
      <c r="BS215" s="8"/>
      <c r="BT215" s="90"/>
      <c r="BU215" s="8"/>
      <c r="BV215" s="90"/>
      <c r="BW215" s="4">
        <f t="shared" si="60"/>
        <v>615</v>
      </c>
    </row>
    <row r="216" spans="1:75" s="27" customFormat="1" thickTop="1" thickBot="1" x14ac:dyDescent="0.3">
      <c r="A216" s="21">
        <v>615</v>
      </c>
      <c r="B216" s="22">
        <v>60</v>
      </c>
      <c r="C216" s="22">
        <v>5</v>
      </c>
      <c r="D216" s="23"/>
      <c r="E216" s="24">
        <v>134</v>
      </c>
      <c r="F216" s="24">
        <v>13</v>
      </c>
      <c r="G216" s="25">
        <f t="shared" si="70"/>
        <v>121</v>
      </c>
      <c r="H216" s="23"/>
      <c r="I216" s="22">
        <v>111</v>
      </c>
      <c r="J216" s="3">
        <f t="shared" si="68"/>
        <v>-112.03512396694214</v>
      </c>
      <c r="K216" s="26">
        <f t="shared" si="71"/>
        <v>174</v>
      </c>
      <c r="L216" s="23"/>
      <c r="N216" s="23"/>
      <c r="O216" s="28">
        <v>6.3E-2</v>
      </c>
      <c r="P216" s="29">
        <v>3.2000000000000001E-2</v>
      </c>
      <c r="Q216" s="23"/>
      <c r="R216" s="30">
        <v>109</v>
      </c>
      <c r="S216" s="31">
        <v>33</v>
      </c>
      <c r="T216" s="32">
        <v>1600</v>
      </c>
      <c r="U216" s="23"/>
      <c r="V216" s="33">
        <v>0</v>
      </c>
      <c r="W216" s="34" t="e">
        <f t="shared" si="69"/>
        <v>#DIV/0!</v>
      </c>
      <c r="X216" s="5"/>
      <c r="Y216" s="55">
        <v>159</v>
      </c>
      <c r="Z216" s="34">
        <f t="shared" si="61"/>
        <v>0.16213977974605934</v>
      </c>
      <c r="AB216" s="27">
        <v>45</v>
      </c>
      <c r="AC216" s="27">
        <v>45</v>
      </c>
      <c r="AE216" s="5">
        <f t="shared" si="62"/>
        <v>615</v>
      </c>
      <c r="AF216" s="28"/>
      <c r="AG216" s="55"/>
      <c r="AH216" s="3"/>
      <c r="AJ216" s="5"/>
      <c r="AK216" s="2">
        <v>700</v>
      </c>
      <c r="AL216" s="7">
        <f t="shared" si="55"/>
        <v>7.6299999999999993E-2</v>
      </c>
      <c r="AM216" s="8">
        <f t="shared" si="56"/>
        <v>-1.3299999999999992E-2</v>
      </c>
      <c r="AN216" s="56">
        <f t="shared" si="57"/>
        <v>2.3099999999999999E-2</v>
      </c>
      <c r="AO216" s="9">
        <f t="shared" si="58"/>
        <v>8.9000000000000017E-3</v>
      </c>
      <c r="AP216" s="5"/>
      <c r="AQ216" s="91"/>
      <c r="AR216" s="5"/>
      <c r="AS216" s="96"/>
      <c r="AT216" s="5"/>
      <c r="AU216" s="30"/>
      <c r="AV216" s="31"/>
      <c r="AW216" s="32"/>
      <c r="AX216" s="147"/>
      <c r="BN216" s="5"/>
      <c r="BO216">
        <f t="shared" si="63"/>
        <v>0.3161525</v>
      </c>
      <c r="BP216">
        <f t="shared" si="59"/>
        <v>0.64560499999999998</v>
      </c>
      <c r="BQ216">
        <f t="shared" si="64"/>
        <v>0.42597000000000002</v>
      </c>
      <c r="BR216">
        <f t="shared" si="65"/>
        <v>0.20633499999999999</v>
      </c>
      <c r="BS216" s="28"/>
      <c r="BT216" s="91"/>
      <c r="BU216" s="28"/>
      <c r="BV216" s="91"/>
      <c r="BW216" s="4">
        <f t="shared" si="60"/>
        <v>615</v>
      </c>
    </row>
    <row r="217" spans="1:75" thickTop="1" thickBot="1" x14ac:dyDescent="0.3">
      <c r="A217" s="15">
        <v>624</v>
      </c>
      <c r="B217" s="16">
        <v>61</v>
      </c>
      <c r="C217" s="16">
        <v>4</v>
      </c>
      <c r="D217" s="17"/>
      <c r="E217" s="1">
        <v>134</v>
      </c>
      <c r="F217" s="1">
        <v>14</v>
      </c>
      <c r="G217" s="18">
        <f t="shared" si="70"/>
        <v>120</v>
      </c>
      <c r="H217" s="17"/>
      <c r="I217" s="19">
        <v>10</v>
      </c>
      <c r="J217" s="3">
        <f t="shared" si="68"/>
        <v>-112.96875</v>
      </c>
      <c r="K217" s="20">
        <f t="shared" si="71"/>
        <v>162</v>
      </c>
      <c r="L217" s="17"/>
      <c r="N217" s="17"/>
      <c r="O217" s="8">
        <v>3.9E-2</v>
      </c>
      <c r="P217" s="9">
        <v>1.0999999999999999E-2</v>
      </c>
      <c r="Q217" s="17"/>
      <c r="R217" s="10">
        <v>24</v>
      </c>
      <c r="S217" s="11">
        <v>6</v>
      </c>
      <c r="T217" s="12">
        <v>400</v>
      </c>
      <c r="U217" s="17"/>
      <c r="V217" s="7">
        <v>61</v>
      </c>
      <c r="W217" s="74">
        <f t="shared" si="69"/>
        <v>19.077065451203659</v>
      </c>
      <c r="Y217" s="56">
        <v>51</v>
      </c>
      <c r="Z217" s="13">
        <f t="shared" si="61"/>
        <v>0.19901719306948057</v>
      </c>
      <c r="AB217">
        <v>10</v>
      </c>
      <c r="AC217">
        <v>10</v>
      </c>
      <c r="AE217" s="5">
        <f t="shared" si="62"/>
        <v>624</v>
      </c>
      <c r="AF217" s="8">
        <f>(O217*AB217+O218*AB218+O219*AB219)/100</f>
        <v>3.9400000000000004E-2</v>
      </c>
      <c r="AG217" s="56">
        <f>(P217*AC217+P218*AC218+P219*AC219)/100</f>
        <v>7.4299999999999991E-2</v>
      </c>
      <c r="AH217" s="3">
        <f>225-5.625*($B217-0.5)</f>
        <v>-115.3125</v>
      </c>
      <c r="AI217">
        <f>K217</f>
        <v>162</v>
      </c>
      <c r="AK217" s="2">
        <v>700</v>
      </c>
      <c r="AL217" s="7">
        <f t="shared" si="55"/>
        <v>1.6799999999999999E-2</v>
      </c>
      <c r="AM217" s="8">
        <f t="shared" si="56"/>
        <v>2.2200000000000001E-2</v>
      </c>
      <c r="AN217" s="56">
        <f t="shared" si="57"/>
        <v>4.1999999999999997E-3</v>
      </c>
      <c r="AO217" s="9">
        <f t="shared" si="58"/>
        <v>6.7999999999999996E-3</v>
      </c>
      <c r="AQ217" s="90">
        <f>($AB217*AM217+$AB218*AM218+$AB219*AM219)/100</f>
        <v>3.7899999999999978E-3</v>
      </c>
      <c r="AS217" s="95">
        <f>($AB217*AO217+$AB218*AO218+$AB219*AO219)/100</f>
        <v>4.3949999999999996E-2</v>
      </c>
      <c r="AU217" s="10">
        <f>($AB217*R217+$AB218*R218+$AB219*R219)/100</f>
        <v>45.5</v>
      </c>
      <c r="AV217" s="11">
        <f>($AB217*S217+$AB218*S218+$AB219*S219)/100</f>
        <v>38.1</v>
      </c>
      <c r="AW217" s="12">
        <f>($AB217*T217+$AB218*T218+$AB219*T219)/100</f>
        <v>1750</v>
      </c>
      <c r="AX217" s="147">
        <f>($AB217*AK217+$AB218*AK218+$AB219*AK219)/100</f>
        <v>780</v>
      </c>
      <c r="BO217">
        <f t="shared" si="63"/>
        <v>9.4739999999999991E-2</v>
      </c>
      <c r="BP217">
        <f t="shared" si="59"/>
        <v>0.16728000000000001</v>
      </c>
      <c r="BQ217">
        <f t="shared" si="64"/>
        <v>0.11892</v>
      </c>
      <c r="BR217">
        <f t="shared" si="65"/>
        <v>7.0559999999999998E-2</v>
      </c>
      <c r="BS217" s="8">
        <f>($AB217*BO217+$AB218*BO218+$AB219*BO219)/100</f>
        <v>0.14131374999999999</v>
      </c>
      <c r="BT217" s="90">
        <f>($AB217*BP217+$AB218*BP218+$AB219*BP219)/100</f>
        <v>0.27883750000000002</v>
      </c>
      <c r="BU217" s="8">
        <f>($AB217*BQ217+$AB218*BQ218+$AB219*BQ219)/100</f>
        <v>0.18715500000000002</v>
      </c>
      <c r="BV217" s="90">
        <f>($AB217*BR217+$AB218*BR218+$AB219*BR219)/100</f>
        <v>9.5472500000000002E-2</v>
      </c>
      <c r="BW217" s="4">
        <f t="shared" si="60"/>
        <v>624</v>
      </c>
    </row>
    <row r="218" spans="1:75" thickTop="1" thickBot="1" x14ac:dyDescent="0.3">
      <c r="A218" s="4">
        <v>624</v>
      </c>
      <c r="B218" s="93">
        <v>61</v>
      </c>
      <c r="C218" s="93">
        <v>4</v>
      </c>
      <c r="E218" s="1">
        <v>134</v>
      </c>
      <c r="F218" s="1">
        <v>14</v>
      </c>
      <c r="G218" s="3">
        <f t="shared" si="70"/>
        <v>120</v>
      </c>
      <c r="I218" s="2">
        <v>60</v>
      </c>
      <c r="J218" s="3">
        <f t="shared" si="68"/>
        <v>-115.3125</v>
      </c>
      <c r="K218" s="6">
        <f t="shared" si="71"/>
        <v>162</v>
      </c>
      <c r="O218" s="8">
        <v>3.7999999999999999E-2</v>
      </c>
      <c r="P218" s="9">
        <v>8.8999999999999996E-2</v>
      </c>
      <c r="R218" s="10">
        <v>47</v>
      </c>
      <c r="S218" s="11">
        <v>46</v>
      </c>
      <c r="T218" s="12">
        <v>2000</v>
      </c>
      <c r="V218" s="7">
        <v>0</v>
      </c>
      <c r="W218" s="74" t="e">
        <f t="shared" si="69"/>
        <v>#DIV/0!</v>
      </c>
      <c r="Y218" s="56">
        <v>415</v>
      </c>
      <c r="Z218" s="13">
        <f t="shared" si="61"/>
        <v>0.1496984921574592</v>
      </c>
      <c r="AB218">
        <v>80</v>
      </c>
      <c r="AC218">
        <v>80</v>
      </c>
      <c r="AE218" s="5">
        <f t="shared" si="62"/>
        <v>624</v>
      </c>
      <c r="AG218" s="56"/>
      <c r="AK218" s="2">
        <v>800</v>
      </c>
      <c r="AL218" s="7">
        <f t="shared" si="55"/>
        <v>3.7600000000000001E-2</v>
      </c>
      <c r="AM218" s="8">
        <f t="shared" si="56"/>
        <v>3.9999999999999758E-4</v>
      </c>
      <c r="AN218" s="56">
        <f t="shared" si="57"/>
        <v>3.6799999999999999E-2</v>
      </c>
      <c r="AO218" s="9">
        <f t="shared" si="58"/>
        <v>5.2199999999999996E-2</v>
      </c>
      <c r="AX218" s="147"/>
      <c r="BO218">
        <f t="shared" si="63"/>
        <v>0.14245749999999999</v>
      </c>
      <c r="BP218">
        <f t="shared" si="59"/>
        <v>0.28451500000000002</v>
      </c>
      <c r="BQ218">
        <f t="shared" si="64"/>
        <v>0.18981000000000001</v>
      </c>
      <c r="BR218">
        <f t="shared" si="65"/>
        <v>9.5104999999999995E-2</v>
      </c>
      <c r="BS218" s="8"/>
      <c r="BT218" s="90"/>
      <c r="BU218" s="8"/>
      <c r="BV218" s="90"/>
      <c r="BW218" s="4">
        <f t="shared" si="60"/>
        <v>624</v>
      </c>
    </row>
    <row r="219" spans="1:75" s="27" customFormat="1" thickTop="1" thickBot="1" x14ac:dyDescent="0.3">
      <c r="A219" s="21">
        <v>624</v>
      </c>
      <c r="B219" s="22">
        <v>61</v>
      </c>
      <c r="C219" s="22">
        <v>4</v>
      </c>
      <c r="D219" s="23"/>
      <c r="E219" s="24">
        <v>134</v>
      </c>
      <c r="F219" s="24">
        <v>14</v>
      </c>
      <c r="G219" s="25">
        <f t="shared" si="70"/>
        <v>120</v>
      </c>
      <c r="H219" s="23"/>
      <c r="I219" s="22">
        <v>110</v>
      </c>
      <c r="J219" s="3">
        <f t="shared" si="68"/>
        <v>-117.65625</v>
      </c>
      <c r="K219" s="26">
        <f t="shared" si="71"/>
        <v>162</v>
      </c>
      <c r="L219" s="23"/>
      <c r="N219" s="23"/>
      <c r="O219" s="28">
        <v>5.0999999999999997E-2</v>
      </c>
      <c r="P219" s="29">
        <v>0.02</v>
      </c>
      <c r="Q219" s="23"/>
      <c r="R219" s="30">
        <v>55</v>
      </c>
      <c r="S219" s="31">
        <v>7</v>
      </c>
      <c r="T219" s="32">
        <v>1100</v>
      </c>
      <c r="U219" s="23"/>
      <c r="V219" s="33">
        <v>73</v>
      </c>
      <c r="W219" s="34">
        <f t="shared" si="69"/>
        <v>18.357186640927935</v>
      </c>
      <c r="X219" s="5"/>
      <c r="Y219" s="55">
        <v>78</v>
      </c>
      <c r="Z219" s="34">
        <f t="shared" si="61"/>
        <v>0.18116432546313532</v>
      </c>
      <c r="AB219" s="27">
        <v>10</v>
      </c>
      <c r="AC219" s="27">
        <v>10</v>
      </c>
      <c r="AE219" s="5">
        <f t="shared" si="62"/>
        <v>624</v>
      </c>
      <c r="AF219" s="28"/>
      <c r="AG219" s="55"/>
      <c r="AH219" s="3"/>
      <c r="AJ219" s="5"/>
      <c r="AK219" s="2">
        <v>700</v>
      </c>
      <c r="AL219" s="7">
        <f t="shared" si="55"/>
        <v>3.85E-2</v>
      </c>
      <c r="AM219" s="8">
        <f t="shared" si="56"/>
        <v>1.2499999999999997E-2</v>
      </c>
      <c r="AN219" s="56">
        <f t="shared" si="57"/>
        <v>4.8999999999999998E-3</v>
      </c>
      <c r="AO219" s="9">
        <f t="shared" si="58"/>
        <v>1.5100000000000001E-2</v>
      </c>
      <c r="AP219" s="5"/>
      <c r="AQ219" s="91"/>
      <c r="AR219" s="5"/>
      <c r="AS219" s="96"/>
      <c r="AT219" s="5"/>
      <c r="AU219" s="30"/>
      <c r="AV219" s="31"/>
      <c r="AW219" s="32"/>
      <c r="AX219" s="147"/>
      <c r="BN219" s="5"/>
      <c r="BO219">
        <f t="shared" si="63"/>
        <v>0.17873749999999999</v>
      </c>
      <c r="BP219">
        <f t="shared" si="59"/>
        <v>0.34497499999999998</v>
      </c>
      <c r="BQ219">
        <f t="shared" si="64"/>
        <v>0.23415</v>
      </c>
      <c r="BR219">
        <f t="shared" si="65"/>
        <v>0.12332499999999999</v>
      </c>
      <c r="BS219" s="28"/>
      <c r="BT219" s="91"/>
      <c r="BU219" s="28"/>
      <c r="BV219" s="91"/>
      <c r="BW219" s="4">
        <f t="shared" si="60"/>
        <v>624</v>
      </c>
    </row>
    <row r="220" spans="1:75" thickTop="1" thickBot="1" x14ac:dyDescent="0.3">
      <c r="A220" s="15">
        <v>625</v>
      </c>
      <c r="B220" s="16">
        <v>61</v>
      </c>
      <c r="C220" s="16">
        <v>5</v>
      </c>
      <c r="D220" s="17"/>
      <c r="E220" s="1">
        <v>132</v>
      </c>
      <c r="F220" s="1">
        <v>12</v>
      </c>
      <c r="G220" s="18">
        <f t="shared" si="70"/>
        <v>120</v>
      </c>
      <c r="H220" s="17"/>
      <c r="I220" s="19">
        <v>10</v>
      </c>
      <c r="J220" s="3">
        <f t="shared" si="68"/>
        <v>-112.96875</v>
      </c>
      <c r="K220" s="20">
        <f t="shared" si="71"/>
        <v>174</v>
      </c>
      <c r="L220" s="17"/>
      <c r="N220" s="17"/>
      <c r="O220" s="8">
        <v>3.5999999999999997E-2</v>
      </c>
      <c r="P220" s="9">
        <v>3.4000000000000002E-2</v>
      </c>
      <c r="Q220" s="17"/>
      <c r="R220" s="10">
        <v>50</v>
      </c>
      <c r="S220" s="11">
        <v>50</v>
      </c>
      <c r="T220" s="76">
        <v>1800</v>
      </c>
      <c r="U220" s="17"/>
      <c r="V220" s="7">
        <v>0</v>
      </c>
      <c r="W220" s="74" t="e">
        <f t="shared" si="69"/>
        <v>#DIV/0!</v>
      </c>
      <c r="Y220" s="56">
        <v>0</v>
      </c>
      <c r="Z220" s="13" t="e">
        <f t="shared" si="61"/>
        <v>#DIV/0!</v>
      </c>
      <c r="AB220" s="72">
        <v>15</v>
      </c>
      <c r="AC220" s="72">
        <v>15</v>
      </c>
      <c r="AE220" s="5">
        <f t="shared" si="62"/>
        <v>625</v>
      </c>
      <c r="AF220" s="8">
        <f>(O220*AB220+O221*AB221+O222*AB222+O223*AB223+O224*AB224+O225*AB225)/100</f>
        <v>0.10583749999999999</v>
      </c>
      <c r="AG220" s="56">
        <f>(P220*AC220+P221*AC221+P222*AC222+P223*AC223+P224*AC224+P225*AC225)/100</f>
        <v>4.8925000000000003E-2</v>
      </c>
      <c r="AH220" s="3">
        <f>225-5.625*($B220-0.5)</f>
        <v>-115.3125</v>
      </c>
      <c r="AI220">
        <f>K220</f>
        <v>174</v>
      </c>
      <c r="AK220" s="2">
        <v>700</v>
      </c>
      <c r="AL220" s="7">
        <f t="shared" si="55"/>
        <v>3.4999999999999996E-2</v>
      </c>
      <c r="AM220" s="8">
        <f t="shared" si="56"/>
        <v>1.0000000000000009E-3</v>
      </c>
      <c r="AN220" s="56">
        <f t="shared" si="57"/>
        <v>3.4999999999999996E-2</v>
      </c>
      <c r="AO220" s="9">
        <f t="shared" si="58"/>
        <v>-9.9999999999999395E-4</v>
      </c>
      <c r="AQ220" s="90">
        <f>($AB220*AM220+$AB221*AM221+$AB222*AM222+$AB223*AM223+$AB224*AM224+$AB225*AM225)/100</f>
        <v>2.6783750000000009E-2</v>
      </c>
      <c r="AS220" s="95">
        <f>($AB220*AO220+$AB221*AO221+$AB222*AO222+$AB223*AO223+$AB224*AO224+$AB225*AO225)/100</f>
        <v>2.5086250000000004E-2</v>
      </c>
      <c r="AU220" s="10">
        <f>($AB220*R220+$AB221*R221+$AB222*R222+$AB223*R223+$AB224*R224+$AB225*R225)/100</f>
        <v>110.16249999999999</v>
      </c>
      <c r="AV220" s="11">
        <f>($AB220*S220+$AB221*S221+$AB222*S222+$AB223*S223+$AB224*S224+$AB225*S225)/100</f>
        <v>33.325000000000003</v>
      </c>
      <c r="AW220" s="12">
        <f>($AB220*T220+$AB221*T221+$AB222*T222+$AB223*T223+$AB224*T224+$AB225*T225)/100</f>
        <v>2008.75</v>
      </c>
      <c r="AX220" s="147">
        <f>($AB220*AK220+$AB221*AK221+$AB222*AK222+$AB223*AK223+$AB224*AK224+$AB225*AK225)/100</f>
        <v>708.75</v>
      </c>
      <c r="BO220">
        <f t="shared" si="63"/>
        <v>0.15212500000000001</v>
      </c>
      <c r="BP220">
        <f t="shared" si="59"/>
        <v>0.30324999999999996</v>
      </c>
      <c r="BQ220">
        <f t="shared" si="64"/>
        <v>0.20250000000000001</v>
      </c>
      <c r="BR220">
        <f t="shared" si="65"/>
        <v>0.10175000000000001</v>
      </c>
      <c r="BS220" s="8">
        <f>($AB220*BO220+$AB221*BO221+$AB222*BO222+$AB223*BO223+$AB224*BO224+$AB225*BO225)/100</f>
        <v>0.35974990625000003</v>
      </c>
      <c r="BT220" s="90">
        <f>($AB220*BP220+$AB221*BP221+$AB222*BP222+$AB223*BP223+$AB224*BP224+$AB225*BP225)/100</f>
        <v>0.69271606250000006</v>
      </c>
      <c r="BU220" s="8">
        <f>($AB220*BQ220+$AB221*BQ221+$AB222*BQ222+$AB223*BQ223+$AB224*BQ224+$AB225*BQ225)/100</f>
        <v>0.47073862500000002</v>
      </c>
      <c r="BV220" s="90">
        <f>($AB220*BR220+$AB221*BR221+$AB222*BR222+$AB223*BR223+$AB224*BR224+$AB225*BR225)/100</f>
        <v>0.24876118750000001</v>
      </c>
      <c r="BW220" s="4">
        <f t="shared" si="60"/>
        <v>625</v>
      </c>
    </row>
    <row r="221" spans="1:75" thickTop="1" thickBot="1" x14ac:dyDescent="0.3">
      <c r="A221" s="4">
        <v>625</v>
      </c>
      <c r="B221" s="93">
        <v>61</v>
      </c>
      <c r="C221" s="93">
        <v>5</v>
      </c>
      <c r="E221" s="1">
        <v>132</v>
      </c>
      <c r="F221" s="1">
        <v>12</v>
      </c>
      <c r="G221" s="3">
        <f t="shared" si="70"/>
        <v>120</v>
      </c>
      <c r="I221" s="2">
        <v>30</v>
      </c>
      <c r="J221" s="3">
        <f t="shared" si="68"/>
        <v>-113.90625</v>
      </c>
      <c r="K221" s="6">
        <f t="shared" si="71"/>
        <v>174</v>
      </c>
      <c r="O221" s="8">
        <v>0.123</v>
      </c>
      <c r="P221" s="9">
        <v>5.3999999999999999E-2</v>
      </c>
      <c r="R221" s="10">
        <v>138</v>
      </c>
      <c r="S221" s="11">
        <v>35</v>
      </c>
      <c r="T221" s="12">
        <v>2100</v>
      </c>
      <c r="V221" s="7">
        <v>211</v>
      </c>
      <c r="W221" s="74">
        <f t="shared" si="69"/>
        <v>15.728743272394968</v>
      </c>
      <c r="Y221" s="56">
        <v>240</v>
      </c>
      <c r="Z221" s="13">
        <f t="shared" si="61"/>
        <v>0.15545631755148026</v>
      </c>
      <c r="AB221">
        <f t="shared" ref="AB221:AC224" si="73">75/4</f>
        <v>18.75</v>
      </c>
      <c r="AC221">
        <f t="shared" si="73"/>
        <v>18.75</v>
      </c>
      <c r="AE221" s="5">
        <f t="shared" si="62"/>
        <v>625</v>
      </c>
      <c r="AG221" s="56"/>
      <c r="AK221" s="2">
        <v>700</v>
      </c>
      <c r="AL221" s="7">
        <f t="shared" si="55"/>
        <v>9.6599999999999991E-2</v>
      </c>
      <c r="AM221" s="8">
        <f t="shared" si="56"/>
        <v>2.6400000000000007E-2</v>
      </c>
      <c r="AN221" s="56">
        <f t="shared" si="57"/>
        <v>2.4499999999999997E-2</v>
      </c>
      <c r="AO221" s="9">
        <f t="shared" si="58"/>
        <v>2.9500000000000002E-2</v>
      </c>
      <c r="AX221" s="147"/>
      <c r="BO221">
        <f t="shared" si="63"/>
        <v>0.44350499999999998</v>
      </c>
      <c r="BP221">
        <f t="shared" si="59"/>
        <v>0.86060999999999999</v>
      </c>
      <c r="BQ221">
        <f t="shared" si="64"/>
        <v>0.58254000000000006</v>
      </c>
      <c r="BR221">
        <f t="shared" si="65"/>
        <v>0.30447000000000002</v>
      </c>
      <c r="BS221" s="8"/>
      <c r="BT221" s="90"/>
      <c r="BU221" s="8"/>
      <c r="BV221" s="90"/>
      <c r="BW221" s="4">
        <f t="shared" si="60"/>
        <v>625</v>
      </c>
    </row>
    <row r="222" spans="1:75" thickTop="1" thickBot="1" x14ac:dyDescent="0.3">
      <c r="A222" s="4">
        <v>625</v>
      </c>
      <c r="B222" s="93">
        <v>61</v>
      </c>
      <c r="C222" s="93">
        <v>5</v>
      </c>
      <c r="E222" s="1">
        <v>132</v>
      </c>
      <c r="F222" s="1">
        <v>12</v>
      </c>
      <c r="G222" s="3">
        <f t="shared" si="70"/>
        <v>120</v>
      </c>
      <c r="I222" s="2">
        <v>50</v>
      </c>
      <c r="J222" s="3">
        <f t="shared" si="68"/>
        <v>-114.84375</v>
      </c>
      <c r="K222" s="6">
        <f t="shared" si="71"/>
        <v>174</v>
      </c>
      <c r="O222" s="8">
        <v>0.114</v>
      </c>
      <c r="P222" s="9">
        <v>5.5E-2</v>
      </c>
      <c r="R222" s="10">
        <v>130</v>
      </c>
      <c r="S222" s="11">
        <v>41</v>
      </c>
      <c r="T222" s="12">
        <v>2500</v>
      </c>
      <c r="V222" s="7">
        <v>0</v>
      </c>
      <c r="W222" s="74" t="e">
        <f t="shared" si="69"/>
        <v>#DIV/0!</v>
      </c>
      <c r="Y222" s="56">
        <v>213</v>
      </c>
      <c r="Z222" s="13">
        <f t="shared" si="61"/>
        <v>0.15714590570788403</v>
      </c>
      <c r="AB222">
        <f t="shared" si="73"/>
        <v>18.75</v>
      </c>
      <c r="AC222">
        <f t="shared" si="73"/>
        <v>18.75</v>
      </c>
      <c r="AE222" s="5">
        <f t="shared" si="62"/>
        <v>625</v>
      </c>
      <c r="AG222" s="56"/>
      <c r="AK222" s="2">
        <v>700</v>
      </c>
      <c r="AL222" s="7">
        <f t="shared" si="55"/>
        <v>9.0999999999999998E-2</v>
      </c>
      <c r="AM222" s="8">
        <f t="shared" si="56"/>
        <v>2.3000000000000007E-2</v>
      </c>
      <c r="AN222" s="56">
        <f t="shared" si="57"/>
        <v>2.87E-2</v>
      </c>
      <c r="AO222" s="9">
        <f t="shared" si="58"/>
        <v>2.63E-2</v>
      </c>
      <c r="AX222" s="147"/>
      <c r="BO222">
        <f t="shared" si="63"/>
        <v>0.41592499999999999</v>
      </c>
      <c r="BP222">
        <f t="shared" si="59"/>
        <v>0.80884999999999996</v>
      </c>
      <c r="BQ222">
        <f t="shared" si="64"/>
        <v>0.54690000000000005</v>
      </c>
      <c r="BR222">
        <f t="shared" si="65"/>
        <v>0.28494999999999998</v>
      </c>
      <c r="BS222" s="8"/>
      <c r="BT222" s="90"/>
      <c r="BU222" s="8"/>
      <c r="BV222" s="90"/>
      <c r="BW222" s="4">
        <f t="shared" si="60"/>
        <v>625</v>
      </c>
    </row>
    <row r="223" spans="1:75" thickTop="1" thickBot="1" x14ac:dyDescent="0.3">
      <c r="A223" s="4">
        <v>625</v>
      </c>
      <c r="B223" s="93">
        <v>61</v>
      </c>
      <c r="C223" s="93">
        <v>5</v>
      </c>
      <c r="E223" s="1">
        <v>132</v>
      </c>
      <c r="F223" s="1">
        <v>12</v>
      </c>
      <c r="G223" s="3">
        <f t="shared" si="70"/>
        <v>120</v>
      </c>
      <c r="I223" s="2">
        <v>70</v>
      </c>
      <c r="J223" s="3">
        <f t="shared" si="68"/>
        <v>-115.78125</v>
      </c>
      <c r="K223" s="6">
        <f t="shared" si="71"/>
        <v>174</v>
      </c>
      <c r="O223" s="8">
        <v>0.16400000000000001</v>
      </c>
      <c r="P223" s="9">
        <v>6.6000000000000003E-2</v>
      </c>
      <c r="R223" s="10">
        <v>120</v>
      </c>
      <c r="S223" s="11">
        <v>31</v>
      </c>
      <c r="T223" s="12">
        <v>2500</v>
      </c>
      <c r="V223" s="7">
        <v>222</v>
      </c>
      <c r="W223" s="74">
        <f t="shared" si="69"/>
        <v>15.653914687548451</v>
      </c>
      <c r="Y223" s="56">
        <v>289</v>
      </c>
      <c r="Z223" s="13">
        <f t="shared" si="61"/>
        <v>0.15316725372107692</v>
      </c>
      <c r="AB223">
        <f t="shared" si="73"/>
        <v>18.75</v>
      </c>
      <c r="AC223">
        <f t="shared" si="73"/>
        <v>18.75</v>
      </c>
      <c r="AE223" s="5">
        <f t="shared" si="62"/>
        <v>625</v>
      </c>
      <c r="AG223" s="56"/>
      <c r="AK223" s="2">
        <v>800</v>
      </c>
      <c r="AL223" s="7">
        <f t="shared" si="55"/>
        <v>9.6000000000000002E-2</v>
      </c>
      <c r="AM223" s="8">
        <f t="shared" si="56"/>
        <v>6.8000000000000005E-2</v>
      </c>
      <c r="AN223" s="56">
        <f t="shared" si="57"/>
        <v>2.4799999999999999E-2</v>
      </c>
      <c r="AO223" s="9">
        <f t="shared" si="58"/>
        <v>4.1200000000000001E-2</v>
      </c>
      <c r="AX223" s="147"/>
      <c r="BO223">
        <f t="shared" si="63"/>
        <v>0.43069999999999997</v>
      </c>
      <c r="BP223">
        <f t="shared" si="59"/>
        <v>0.79339999999999999</v>
      </c>
      <c r="BQ223">
        <f t="shared" si="64"/>
        <v>0.55159999999999998</v>
      </c>
      <c r="BR223">
        <f t="shared" si="65"/>
        <v>0.30980000000000002</v>
      </c>
      <c r="BS223" s="8"/>
      <c r="BT223" s="90"/>
      <c r="BU223" s="8"/>
      <c r="BV223" s="90"/>
      <c r="BW223" s="4">
        <f t="shared" si="60"/>
        <v>625</v>
      </c>
    </row>
    <row r="224" spans="1:75" thickTop="1" thickBot="1" x14ac:dyDescent="0.3">
      <c r="A224" s="4">
        <v>625</v>
      </c>
      <c r="B224" s="93">
        <v>61</v>
      </c>
      <c r="C224" s="93">
        <v>5</v>
      </c>
      <c r="E224" s="1">
        <v>132</v>
      </c>
      <c r="F224" s="1">
        <v>12</v>
      </c>
      <c r="G224" s="3">
        <f t="shared" si="70"/>
        <v>120</v>
      </c>
      <c r="I224" s="2">
        <v>90</v>
      </c>
      <c r="J224" s="3">
        <f t="shared" si="68"/>
        <v>-116.71875</v>
      </c>
      <c r="K224" s="6">
        <f t="shared" si="71"/>
        <v>174</v>
      </c>
      <c r="O224" s="8">
        <v>0.124</v>
      </c>
      <c r="P224" s="9">
        <v>5.5E-2</v>
      </c>
      <c r="R224" s="10">
        <v>143</v>
      </c>
      <c r="S224" s="11">
        <v>27</v>
      </c>
      <c r="T224" s="12">
        <v>1800</v>
      </c>
      <c r="V224" s="7">
        <v>0</v>
      </c>
      <c r="W224" s="74" t="e">
        <f t="shared" si="69"/>
        <v>#DIV/0!</v>
      </c>
      <c r="Y224" s="56">
        <v>330</v>
      </c>
      <c r="Z224" s="13">
        <f t="shared" si="61"/>
        <v>0.15175738212786563</v>
      </c>
      <c r="AB224">
        <f t="shared" si="73"/>
        <v>18.75</v>
      </c>
      <c r="AC224">
        <f t="shared" si="73"/>
        <v>18.75</v>
      </c>
      <c r="AE224" s="5">
        <f t="shared" si="62"/>
        <v>625</v>
      </c>
      <c r="AG224" s="56"/>
      <c r="AK224" s="2">
        <v>700</v>
      </c>
      <c r="AL224" s="7">
        <f t="shared" si="55"/>
        <v>0.10009999999999999</v>
      </c>
      <c r="AM224" s="8">
        <f t="shared" si="56"/>
        <v>2.3900000000000005E-2</v>
      </c>
      <c r="AN224" s="56">
        <f t="shared" si="57"/>
        <v>1.89E-2</v>
      </c>
      <c r="AO224" s="9">
        <f t="shared" si="58"/>
        <v>3.61E-2</v>
      </c>
      <c r="AX224" s="147"/>
      <c r="BO224">
        <f t="shared" si="63"/>
        <v>0.45611750000000001</v>
      </c>
      <c r="BP224">
        <f t="shared" si="59"/>
        <v>0.88833499999999999</v>
      </c>
      <c r="BQ224">
        <f t="shared" si="64"/>
        <v>0.60019</v>
      </c>
      <c r="BR224">
        <f t="shared" si="65"/>
        <v>0.31204500000000002</v>
      </c>
      <c r="BS224" s="8"/>
      <c r="BT224" s="90"/>
      <c r="BU224" s="8"/>
      <c r="BV224" s="90"/>
      <c r="BW224" s="4">
        <f t="shared" si="60"/>
        <v>625</v>
      </c>
    </row>
    <row r="225" spans="1:75" s="27" customFormat="1" thickTop="1" thickBot="1" x14ac:dyDescent="0.3">
      <c r="A225" s="21">
        <v>625</v>
      </c>
      <c r="B225" s="22">
        <v>61</v>
      </c>
      <c r="C225" s="22">
        <v>5</v>
      </c>
      <c r="D225" s="23"/>
      <c r="E225" s="24">
        <v>132</v>
      </c>
      <c r="F225" s="24">
        <v>12</v>
      </c>
      <c r="G225" s="25">
        <f t="shared" si="70"/>
        <v>120</v>
      </c>
      <c r="H225" s="23"/>
      <c r="I225" s="22">
        <v>110</v>
      </c>
      <c r="J225" s="3">
        <f t="shared" si="68"/>
        <v>-117.65625</v>
      </c>
      <c r="K225" s="26">
        <f t="shared" si="71"/>
        <v>174</v>
      </c>
      <c r="L225" s="23"/>
      <c r="N225" s="23"/>
      <c r="O225" s="28">
        <v>0.02</v>
      </c>
      <c r="P225" s="29">
        <v>7.0000000000000001E-3</v>
      </c>
      <c r="Q225" s="23"/>
      <c r="R225" s="30">
        <v>31</v>
      </c>
      <c r="S225" s="31">
        <v>7</v>
      </c>
      <c r="T225" s="32">
        <v>700</v>
      </c>
      <c r="U225" s="23"/>
      <c r="V225" s="33">
        <v>0</v>
      </c>
      <c r="W225" s="34" t="e">
        <f t="shared" si="69"/>
        <v>#DIV/0!</v>
      </c>
      <c r="X225" s="5"/>
      <c r="Y225" s="55">
        <v>47</v>
      </c>
      <c r="Z225" s="34">
        <f t="shared" si="61"/>
        <v>0.20316642376308358</v>
      </c>
      <c r="AB225" s="27">
        <v>10</v>
      </c>
      <c r="AC225" s="27">
        <v>10</v>
      </c>
      <c r="AE225" s="5">
        <f t="shared" si="62"/>
        <v>625</v>
      </c>
      <c r="AF225" s="28"/>
      <c r="AG225" s="55"/>
      <c r="AH225" s="3"/>
      <c r="AJ225" s="5"/>
      <c r="AK225" s="2">
        <v>600</v>
      </c>
      <c r="AL225" s="7">
        <f t="shared" si="55"/>
        <v>1.8599999999999998E-2</v>
      </c>
      <c r="AM225" s="8">
        <f t="shared" si="56"/>
        <v>1.4000000000000019E-3</v>
      </c>
      <c r="AN225" s="56">
        <f t="shared" si="57"/>
        <v>4.1999999999999997E-3</v>
      </c>
      <c r="AO225" s="9">
        <f t="shared" si="58"/>
        <v>2.8000000000000004E-3</v>
      </c>
      <c r="AP225" s="5"/>
      <c r="AQ225" s="91"/>
      <c r="AR225" s="5"/>
      <c r="AS225" s="96"/>
      <c r="AT225" s="5"/>
      <c r="AU225" s="30"/>
      <c r="AV225" s="31"/>
      <c r="AW225" s="32"/>
      <c r="AX225" s="147"/>
      <c r="BN225" s="5"/>
      <c r="BO225">
        <f t="shared" si="63"/>
        <v>9.5097500000000001E-2</v>
      </c>
      <c r="BP225">
        <f t="shared" si="59"/>
        <v>0.18879499999999999</v>
      </c>
      <c r="BQ225">
        <f t="shared" si="64"/>
        <v>0.12633</v>
      </c>
      <c r="BR225">
        <f t="shared" si="65"/>
        <v>6.3865000000000005E-2</v>
      </c>
      <c r="BS225" s="28"/>
      <c r="BT225" s="91"/>
      <c r="BU225" s="28"/>
      <c r="BV225" s="91"/>
      <c r="BW225" s="4">
        <f t="shared" si="60"/>
        <v>625</v>
      </c>
    </row>
    <row r="226" spans="1:75" thickTop="1" thickBot="1" x14ac:dyDescent="0.3">
      <c r="A226" s="15">
        <v>634</v>
      </c>
      <c r="B226" s="16">
        <v>2</v>
      </c>
      <c r="C226" s="16">
        <v>4</v>
      </c>
      <c r="D226" s="17"/>
      <c r="E226" s="1">
        <v>135</v>
      </c>
      <c r="F226" s="1">
        <v>14</v>
      </c>
      <c r="G226" s="18">
        <f t="shared" si="70"/>
        <v>121</v>
      </c>
      <c r="H226" s="17"/>
      <c r="I226" s="19">
        <v>10</v>
      </c>
      <c r="J226" s="3">
        <f t="shared" si="68"/>
        <v>218.91012396694214</v>
      </c>
      <c r="K226" s="20">
        <f t="shared" si="71"/>
        <v>162</v>
      </c>
      <c r="L226" s="17"/>
      <c r="N226" s="17"/>
      <c r="O226" s="8">
        <v>6.7000000000000004E-2</v>
      </c>
      <c r="P226" s="9">
        <v>1.6E-2</v>
      </c>
      <c r="Q226" s="17"/>
      <c r="R226" s="10">
        <v>65</v>
      </c>
      <c r="S226" s="11">
        <v>15</v>
      </c>
      <c r="T226" s="12">
        <v>900</v>
      </c>
      <c r="U226" s="17"/>
      <c r="V226" s="7">
        <v>163</v>
      </c>
      <c r="W226" s="74">
        <f t="shared" si="69"/>
        <v>16.166313533132215</v>
      </c>
      <c r="Y226" s="56">
        <v>122</v>
      </c>
      <c r="Z226" s="13">
        <f t="shared" si="61"/>
        <v>0.16791879380068039</v>
      </c>
      <c r="AB226">
        <v>5</v>
      </c>
      <c r="AC226">
        <v>5</v>
      </c>
      <c r="AE226" s="5">
        <f t="shared" si="62"/>
        <v>634</v>
      </c>
      <c r="AF226" s="8">
        <f>(O226*AB226+O227*AB227+O228*AB228)/100</f>
        <v>7.690000000000001E-2</v>
      </c>
      <c r="AG226" s="56">
        <f>(P226*AC226+P227*AC227+P228*AC228)/100</f>
        <v>4.5899999999999996E-2</v>
      </c>
      <c r="AH226" s="3">
        <f>225-5.625*($B226-0.5)</f>
        <v>216.5625</v>
      </c>
      <c r="AI226">
        <f>K226</f>
        <v>162</v>
      </c>
      <c r="AK226" s="2">
        <v>600</v>
      </c>
      <c r="AL226" s="7">
        <f t="shared" si="55"/>
        <v>3.9E-2</v>
      </c>
      <c r="AM226" s="8">
        <f t="shared" si="56"/>
        <v>2.8000000000000004E-2</v>
      </c>
      <c r="AN226" s="56">
        <f t="shared" si="57"/>
        <v>8.9999999999999993E-3</v>
      </c>
      <c r="AO226" s="9">
        <f t="shared" si="58"/>
        <v>7.000000000000001E-3</v>
      </c>
      <c r="AQ226" s="90">
        <f>($AB226*AM226+$AB227*AM227+$AB228*AM228)/100</f>
        <v>3.6895000000000004E-2</v>
      </c>
      <c r="AS226" s="95">
        <f>($AB226*AO226+$AB227*AO227+$AB228*AO228)/100</f>
        <v>1.7490000000000002E-2</v>
      </c>
      <c r="AU226" s="10">
        <f>($AB226*R226+$AB227*R227+$AB228*R228)/100</f>
        <v>65.55</v>
      </c>
      <c r="AV226" s="11">
        <f>($AB226*S226+$AB227*S227+$AB228*S228)/100</f>
        <v>43.3</v>
      </c>
      <c r="AW226" s="12">
        <f>($AB226*T226+$AB227*T227+$AB228*T228)/100</f>
        <v>1195</v>
      </c>
      <c r="AX226" s="147">
        <f>($AB226*AK226+$AB227*AK227+$AB228*AK228)/100</f>
        <v>615</v>
      </c>
      <c r="BO226">
        <f t="shared" si="63"/>
        <v>0.22446250000000001</v>
      </c>
      <c r="BP226">
        <f t="shared" si="59"/>
        <v>0.42092499999999999</v>
      </c>
      <c r="BQ226">
        <f t="shared" si="64"/>
        <v>0.28995000000000004</v>
      </c>
      <c r="BR226">
        <f t="shared" si="65"/>
        <v>0.15897500000000001</v>
      </c>
      <c r="BS226" s="8">
        <f>($AB226*BO226+$AB227*BO227+$AB228*BO228)/100</f>
        <v>0.23501987500000002</v>
      </c>
      <c r="BT226" s="90">
        <f>($AB226*BP226+$AB227*BP227+$AB228*BP228)/100</f>
        <v>0.43314474999999997</v>
      </c>
      <c r="BU226" s="8">
        <f>($AB226*BQ226+$AB227*BQ227+$AB228*BQ228)/100</f>
        <v>0.30106150000000004</v>
      </c>
      <c r="BV226" s="90">
        <f>($AB226*BR226+$AB227*BR227+$AB228*BR228)/100</f>
        <v>0.16897824999999997</v>
      </c>
      <c r="BW226" s="4">
        <f t="shared" si="60"/>
        <v>634</v>
      </c>
    </row>
    <row r="227" spans="1:75" thickTop="1" thickBot="1" x14ac:dyDescent="0.3">
      <c r="A227" s="4">
        <v>634</v>
      </c>
      <c r="B227" s="2">
        <v>2</v>
      </c>
      <c r="C227" s="2">
        <v>4</v>
      </c>
      <c r="E227" s="1">
        <v>135</v>
      </c>
      <c r="F227" s="1">
        <v>14</v>
      </c>
      <c r="G227" s="3">
        <f t="shared" si="70"/>
        <v>121</v>
      </c>
      <c r="I227" s="2">
        <v>61</v>
      </c>
      <c r="J227" s="3">
        <f t="shared" si="68"/>
        <v>216.53925619834712</v>
      </c>
      <c r="K227" s="6">
        <f t="shared" si="71"/>
        <v>162</v>
      </c>
      <c r="O227" s="8">
        <v>6.7000000000000004E-2</v>
      </c>
      <c r="P227" s="9">
        <v>0.04</v>
      </c>
      <c r="R227" s="10">
        <v>68</v>
      </c>
      <c r="S227" s="11">
        <v>31</v>
      </c>
      <c r="T227" s="12">
        <v>1000</v>
      </c>
      <c r="V227" s="7">
        <v>183</v>
      </c>
      <c r="W227" s="74">
        <f t="shared" si="69"/>
        <v>15.957594077528398</v>
      </c>
      <c r="Y227" s="56">
        <v>337</v>
      </c>
      <c r="Z227" s="13">
        <f t="shared" si="61"/>
        <v>0.15154985664937168</v>
      </c>
      <c r="AB227">
        <v>85</v>
      </c>
      <c r="AC227">
        <v>85</v>
      </c>
      <c r="AD227" t="s">
        <v>34</v>
      </c>
      <c r="AE227" s="5">
        <f t="shared" si="62"/>
        <v>634</v>
      </c>
      <c r="AG227" s="56"/>
      <c r="AK227" s="2">
        <v>600</v>
      </c>
      <c r="AL227" s="7">
        <f t="shared" si="55"/>
        <v>4.0799999999999996E-2</v>
      </c>
      <c r="AM227" s="8">
        <f t="shared" si="56"/>
        <v>2.6200000000000008E-2</v>
      </c>
      <c r="AN227" s="56">
        <f t="shared" si="57"/>
        <v>1.8599999999999998E-2</v>
      </c>
      <c r="AO227" s="9">
        <f t="shared" si="58"/>
        <v>2.1400000000000002E-2</v>
      </c>
      <c r="AX227" s="147"/>
      <c r="BO227">
        <f t="shared" si="63"/>
        <v>0.23172999999999999</v>
      </c>
      <c r="BP227">
        <f t="shared" si="59"/>
        <v>0.43725999999999998</v>
      </c>
      <c r="BQ227">
        <f t="shared" si="64"/>
        <v>0.30024000000000001</v>
      </c>
      <c r="BR227">
        <f t="shared" si="65"/>
        <v>0.16322</v>
      </c>
      <c r="BS227" s="8"/>
      <c r="BT227" s="90"/>
      <c r="BU227" s="8"/>
      <c r="BV227" s="90"/>
      <c r="BW227" s="4">
        <f t="shared" si="60"/>
        <v>634</v>
      </c>
    </row>
    <row r="228" spans="1:75" s="27" customFormat="1" thickTop="1" thickBot="1" x14ac:dyDescent="0.3">
      <c r="A228" s="21">
        <v>634</v>
      </c>
      <c r="B228" s="22">
        <v>2</v>
      </c>
      <c r="C228" s="22">
        <v>4</v>
      </c>
      <c r="D228" s="23"/>
      <c r="E228" s="24">
        <v>135</v>
      </c>
      <c r="F228" s="24">
        <v>14</v>
      </c>
      <c r="G228" s="25">
        <f t="shared" si="70"/>
        <v>121</v>
      </c>
      <c r="H228" s="23"/>
      <c r="I228" s="22">
        <v>111</v>
      </c>
      <c r="J228" s="3">
        <f t="shared" si="68"/>
        <v>214.21487603305786</v>
      </c>
      <c r="K228" s="26">
        <f t="shared" si="71"/>
        <v>162</v>
      </c>
      <c r="L228" s="23"/>
      <c r="N228" s="23"/>
      <c r="O228" s="28">
        <v>0.16600000000000001</v>
      </c>
      <c r="P228" s="29">
        <v>0.111</v>
      </c>
      <c r="Q228" s="23"/>
      <c r="R228" s="30">
        <v>45</v>
      </c>
      <c r="S228" s="31">
        <v>162</v>
      </c>
      <c r="T228" s="32">
        <v>3000</v>
      </c>
      <c r="U228" s="23"/>
      <c r="V228" s="33">
        <v>379</v>
      </c>
      <c r="W228" s="34">
        <f t="shared" si="69"/>
        <v>15.046103292029015</v>
      </c>
      <c r="X228" s="5"/>
      <c r="Y228" s="55">
        <v>0</v>
      </c>
      <c r="Z228" s="34" t="e">
        <f t="shared" si="61"/>
        <v>#DIV/0!</v>
      </c>
      <c r="AB228" s="27">
        <v>10</v>
      </c>
      <c r="AC228" s="27">
        <v>10</v>
      </c>
      <c r="AD228" s="27" t="s">
        <v>35</v>
      </c>
      <c r="AE228" s="5">
        <f t="shared" si="62"/>
        <v>634</v>
      </c>
      <c r="AF228" s="28"/>
      <c r="AG228" s="55"/>
      <c r="AH228" s="3"/>
      <c r="AJ228" s="5"/>
      <c r="AK228" s="2">
        <v>750</v>
      </c>
      <c r="AL228" s="7">
        <f t="shared" si="55"/>
        <v>3.3749999999999995E-2</v>
      </c>
      <c r="AM228" s="8">
        <f t="shared" si="56"/>
        <v>0.13225000000000001</v>
      </c>
      <c r="AN228" s="56">
        <f t="shared" si="57"/>
        <v>0.1215</v>
      </c>
      <c r="AO228" s="9">
        <f t="shared" si="58"/>
        <v>-1.0499999999999995E-2</v>
      </c>
      <c r="AP228" s="5"/>
      <c r="AQ228" s="91"/>
      <c r="AR228" s="5"/>
      <c r="AS228" s="96"/>
      <c r="AT228" s="5"/>
      <c r="AU228" s="30"/>
      <c r="AV228" s="31"/>
      <c r="AW228" s="32"/>
      <c r="AX228" s="147"/>
      <c r="BN228" s="5"/>
      <c r="BO228">
        <f t="shared" si="63"/>
        <v>0.26826250000000001</v>
      </c>
      <c r="BP228">
        <f t="shared" si="59"/>
        <v>0.404275</v>
      </c>
      <c r="BQ228">
        <f t="shared" si="64"/>
        <v>0.31359999999999999</v>
      </c>
      <c r="BR228">
        <f t="shared" si="65"/>
        <v>0.22292500000000001</v>
      </c>
      <c r="BS228" s="28"/>
      <c r="BT228" s="91"/>
      <c r="BU228" s="28"/>
      <c r="BV228" s="91"/>
      <c r="BW228" s="4">
        <f t="shared" si="60"/>
        <v>634</v>
      </c>
    </row>
    <row r="229" spans="1:75" thickTop="1" thickBot="1" x14ac:dyDescent="0.3">
      <c r="A229" s="15">
        <v>635</v>
      </c>
      <c r="B229" s="16">
        <v>2</v>
      </c>
      <c r="C229" s="16">
        <v>5</v>
      </c>
      <c r="D229" s="17"/>
      <c r="E229" s="1">
        <v>132</v>
      </c>
      <c r="F229" s="1">
        <v>11</v>
      </c>
      <c r="G229" s="18">
        <f t="shared" si="70"/>
        <v>121</v>
      </c>
      <c r="H229" s="17"/>
      <c r="I229" s="19">
        <v>10</v>
      </c>
      <c r="J229" s="3">
        <f t="shared" si="68"/>
        <v>218.91012396694214</v>
      </c>
      <c r="K229" s="20">
        <f t="shared" si="71"/>
        <v>174</v>
      </c>
      <c r="L229" s="17"/>
      <c r="N229" s="17"/>
      <c r="O229" s="8">
        <v>5.5E-2</v>
      </c>
      <c r="P229" s="9">
        <v>1.2E-2</v>
      </c>
      <c r="Q229" s="17"/>
      <c r="R229" s="10">
        <v>31</v>
      </c>
      <c r="S229" s="11">
        <v>13</v>
      </c>
      <c r="T229" s="12">
        <v>900</v>
      </c>
      <c r="U229" s="17"/>
      <c r="V229" s="7">
        <v>159</v>
      </c>
      <c r="W229" s="74">
        <f t="shared" si="69"/>
        <v>16.213977974605935</v>
      </c>
      <c r="Y229" s="56">
        <v>111</v>
      </c>
      <c r="Z229" s="13">
        <f t="shared" si="61"/>
        <v>0.17032031296650735</v>
      </c>
      <c r="AB229" s="72">
        <v>10</v>
      </c>
      <c r="AC229" s="72">
        <v>10</v>
      </c>
      <c r="AE229" s="5">
        <f t="shared" si="62"/>
        <v>635</v>
      </c>
      <c r="AF229" s="8">
        <f>(O229*AB229+O230*AB230+O231*AB231+O232*AB232+O233*AB233+O234*AB234)/100</f>
        <v>9.8912500000000014E-2</v>
      </c>
      <c r="AG229" s="56">
        <f>(P229*AC229+P230*AC230+P231*AC231+P232*AC232+P233*AC233+P234*AC234)/100</f>
        <v>8.1125000000000003E-2</v>
      </c>
      <c r="AH229" s="3">
        <f>225-5.625*($B229-0.5)</f>
        <v>216.5625</v>
      </c>
      <c r="AI229">
        <f>K229</f>
        <v>174</v>
      </c>
      <c r="AK229" s="2">
        <v>600</v>
      </c>
      <c r="AL229" s="7">
        <f t="shared" si="55"/>
        <v>1.8599999999999998E-2</v>
      </c>
      <c r="AM229" s="8">
        <f t="shared" si="56"/>
        <v>3.6400000000000002E-2</v>
      </c>
      <c r="AN229" s="56">
        <f t="shared" si="57"/>
        <v>7.7999999999999996E-3</v>
      </c>
      <c r="AO229" s="9">
        <f t="shared" si="58"/>
        <v>4.2000000000000006E-3</v>
      </c>
      <c r="AQ229" s="90">
        <f>($AB229*AM229+$AB230*AM230+$AB231*AM231+$AB232*AM232+$AB233*AM233+$AB234*AM234)/100</f>
        <v>2.0172500000000003E-2</v>
      </c>
      <c r="AS229" s="95">
        <f>($AB229*AO229+$AB230*AO230+$AB231*AO231+$AB232*AO232+$AB233*AO233+$AB234*AO234)/100</f>
        <v>3.5776250000000002E-2</v>
      </c>
      <c r="AU229" s="10">
        <f>($AB229*R229+$AB230*R230+$AB231*R231+$AB232*R232+$AB233*R233+$AB234*R234)/100</f>
        <v>90.0625</v>
      </c>
      <c r="AV229" s="11">
        <f>($AB229*S229+$AB230*S230+$AB231*S231+$AB232*S232+$AB233*S233+$AB234*S234)/100</f>
        <v>69.575000000000003</v>
      </c>
      <c r="AW229" s="12">
        <f>($AB229*T229+$AB230*T230+$AB231*T231+$AB232*T232+$AB233*T233+$AB234*T234)/100</f>
        <v>2432.5</v>
      </c>
      <c r="AX229" s="147">
        <f>($AB229*AK229+$AB230*AK230+$AB231*AK231+$AB232*AK232+$AB233*AK233+$AB234*AK234)/100</f>
        <v>716.25</v>
      </c>
      <c r="BO229">
        <f t="shared" si="63"/>
        <v>0.1300975</v>
      </c>
      <c r="BP229">
        <f t="shared" si="59"/>
        <v>0.22379499999999999</v>
      </c>
      <c r="BQ229">
        <f t="shared" si="64"/>
        <v>0.16133</v>
      </c>
      <c r="BR229">
        <f t="shared" si="65"/>
        <v>9.8865000000000008E-2</v>
      </c>
      <c r="BS229" s="8">
        <f>($AB229*BO229+$AB230*BO230+$AB231*BO231+$AB232*BO232+$AB233*BO233+$AB234*BO234)/100</f>
        <v>0.29238640625000001</v>
      </c>
      <c r="BT229" s="90">
        <f>($AB229*BP229+$AB230*BP230+$AB231*BP231+$AB232*BP232+$AB233*BP233+$AB234*BP234)/100</f>
        <v>0.56460031250000009</v>
      </c>
      <c r="BU229" s="8">
        <f>($AB229*BQ229+$AB230*BQ230+$AB231*BQ231+$AB232*BQ232+$AB233*BQ233+$AB234*BQ234)/100</f>
        <v>0.38312437500000002</v>
      </c>
      <c r="BV229" s="90">
        <f>($AB229*BR229+$AB230*BR230+$AB231*BR231+$AB232*BR232+$AB233*BR233+$AB234*BR234)/100</f>
        <v>0.2016484375</v>
      </c>
      <c r="BW229" s="4">
        <f t="shared" si="60"/>
        <v>635</v>
      </c>
    </row>
    <row r="230" spans="1:75" thickTop="1" thickBot="1" x14ac:dyDescent="0.3">
      <c r="A230" s="4">
        <v>635</v>
      </c>
      <c r="B230" s="2">
        <v>2</v>
      </c>
      <c r="C230" s="2">
        <v>5</v>
      </c>
      <c r="E230" s="1">
        <v>132</v>
      </c>
      <c r="F230" s="1">
        <v>11</v>
      </c>
      <c r="G230" s="3">
        <f t="shared" si="70"/>
        <v>121</v>
      </c>
      <c r="I230" s="2">
        <v>30</v>
      </c>
      <c r="J230" s="3">
        <f t="shared" si="68"/>
        <v>217.98037190082644</v>
      </c>
      <c r="K230" s="6">
        <f t="shared" si="71"/>
        <v>174</v>
      </c>
      <c r="O230" s="8">
        <v>0.08</v>
      </c>
      <c r="P230" s="9">
        <v>3.7999999999999999E-2</v>
      </c>
      <c r="R230" s="10">
        <v>21</v>
      </c>
      <c r="S230" s="11">
        <v>108</v>
      </c>
      <c r="T230" s="12">
        <v>2400</v>
      </c>
      <c r="V230" s="7">
        <v>191</v>
      </c>
      <c r="W230" s="74">
        <f t="shared" si="69"/>
        <v>15.885717514245567</v>
      </c>
      <c r="Y230" s="56">
        <v>0</v>
      </c>
      <c r="Z230" s="13" t="e">
        <f t="shared" si="61"/>
        <v>#DIV/0!</v>
      </c>
      <c r="AB230">
        <f t="shared" ref="AB230:AC233" si="74">85/4</f>
        <v>21.25</v>
      </c>
      <c r="AC230">
        <f t="shared" si="74"/>
        <v>21.25</v>
      </c>
      <c r="AE230" s="5">
        <f t="shared" si="62"/>
        <v>635</v>
      </c>
      <c r="AG230" s="56"/>
      <c r="AK230" s="2">
        <v>400</v>
      </c>
      <c r="AL230" s="7">
        <f t="shared" si="55"/>
        <v>8.3999999999999995E-3</v>
      </c>
      <c r="AM230" s="8">
        <f t="shared" si="56"/>
        <v>7.1599999999999997E-2</v>
      </c>
      <c r="AN230" s="56">
        <f t="shared" si="57"/>
        <v>4.3199999999999995E-2</v>
      </c>
      <c r="AO230" s="9">
        <f t="shared" si="58"/>
        <v>-5.1999999999999963E-3</v>
      </c>
      <c r="AX230" s="147"/>
      <c r="BO230">
        <f t="shared" si="63"/>
        <v>0.13507250000000001</v>
      </c>
      <c r="BP230">
        <f t="shared" si="59"/>
        <v>0.198545</v>
      </c>
      <c r="BQ230">
        <f t="shared" si="64"/>
        <v>0.15623000000000001</v>
      </c>
      <c r="BR230">
        <f t="shared" si="65"/>
        <v>0.113915</v>
      </c>
      <c r="BS230" s="8"/>
      <c r="BT230" s="90"/>
      <c r="BU230" s="8"/>
      <c r="BV230" s="90"/>
      <c r="BW230" s="4">
        <f t="shared" si="60"/>
        <v>635</v>
      </c>
    </row>
    <row r="231" spans="1:75" thickTop="1" thickBot="1" x14ac:dyDescent="0.3">
      <c r="A231" s="4">
        <v>635</v>
      </c>
      <c r="B231" s="93">
        <v>2</v>
      </c>
      <c r="C231" s="93">
        <v>5</v>
      </c>
      <c r="E231" s="1">
        <v>132</v>
      </c>
      <c r="F231" s="1">
        <v>11</v>
      </c>
      <c r="G231" s="3">
        <f t="shared" si="70"/>
        <v>121</v>
      </c>
      <c r="I231" s="2">
        <v>50</v>
      </c>
      <c r="J231" s="3">
        <f t="shared" si="68"/>
        <v>217.05061983471074</v>
      </c>
      <c r="K231" s="6">
        <f t="shared" si="71"/>
        <v>174</v>
      </c>
      <c r="O231" s="8">
        <v>7.2999999999999995E-2</v>
      </c>
      <c r="P231" s="9">
        <v>6.8000000000000005E-2</v>
      </c>
      <c r="R231" s="10">
        <v>54</v>
      </c>
      <c r="S231" s="11">
        <v>99</v>
      </c>
      <c r="T231" s="12">
        <v>2400</v>
      </c>
      <c r="V231" s="7">
        <v>215</v>
      </c>
      <c r="W231" s="74">
        <f t="shared" si="69"/>
        <v>15.700688771737905</v>
      </c>
      <c r="Y231" s="56">
        <v>0</v>
      </c>
      <c r="Z231" s="13" t="e">
        <f t="shared" si="61"/>
        <v>#DIV/0!</v>
      </c>
      <c r="AB231">
        <f t="shared" si="74"/>
        <v>21.25</v>
      </c>
      <c r="AC231">
        <f t="shared" si="74"/>
        <v>21.25</v>
      </c>
      <c r="AE231" s="5">
        <f t="shared" si="62"/>
        <v>635</v>
      </c>
      <c r="AG231" s="56"/>
      <c r="AK231" s="2">
        <v>600</v>
      </c>
      <c r="AL231" s="7">
        <f t="shared" si="55"/>
        <v>3.2399999999999998E-2</v>
      </c>
      <c r="AM231" s="8">
        <f t="shared" si="56"/>
        <v>4.0599999999999997E-2</v>
      </c>
      <c r="AN231" s="56">
        <f t="shared" si="57"/>
        <v>5.9399999999999994E-2</v>
      </c>
      <c r="AO231" s="9">
        <f t="shared" si="58"/>
        <v>8.6000000000000104E-3</v>
      </c>
      <c r="AX231" s="147"/>
      <c r="BO231">
        <f t="shared" si="63"/>
        <v>0.20381499999999997</v>
      </c>
      <c r="BP231">
        <f t="shared" si="59"/>
        <v>0.36703000000000002</v>
      </c>
      <c r="BQ231">
        <f t="shared" si="64"/>
        <v>0.25822000000000001</v>
      </c>
      <c r="BR231">
        <f t="shared" si="65"/>
        <v>0.14940999999999999</v>
      </c>
      <c r="BS231" s="8"/>
      <c r="BT231" s="90"/>
      <c r="BU231" s="8"/>
      <c r="BV231" s="90"/>
      <c r="BW231" s="4">
        <f t="shared" si="60"/>
        <v>635</v>
      </c>
    </row>
    <row r="232" spans="1:75" thickTop="1" thickBot="1" x14ac:dyDescent="0.3">
      <c r="A232" s="4">
        <v>635</v>
      </c>
      <c r="B232" s="93">
        <v>2</v>
      </c>
      <c r="C232" s="93">
        <v>5</v>
      </c>
      <c r="E232" s="1">
        <v>132</v>
      </c>
      <c r="F232" s="1">
        <v>11</v>
      </c>
      <c r="G232" s="3">
        <f t="shared" si="70"/>
        <v>121</v>
      </c>
      <c r="I232" s="2">
        <v>70</v>
      </c>
      <c r="J232" s="3">
        <f t="shared" si="68"/>
        <v>216.12086776859505</v>
      </c>
      <c r="K232" s="6">
        <f t="shared" si="71"/>
        <v>174</v>
      </c>
      <c r="O232" s="8">
        <v>0.155</v>
      </c>
      <c r="P232" s="9">
        <v>0.14000000000000001</v>
      </c>
      <c r="R232" s="10">
        <v>226</v>
      </c>
      <c r="S232" s="11">
        <v>46</v>
      </c>
      <c r="T232" s="76">
        <v>2900</v>
      </c>
      <c r="V232" s="7">
        <v>0</v>
      </c>
      <c r="W232" s="74" t="e">
        <f t="shared" si="69"/>
        <v>#DIV/0!</v>
      </c>
      <c r="Y232" s="56">
        <v>1254</v>
      </c>
      <c r="Z232" s="13">
        <f t="shared" si="61"/>
        <v>0.1442132038541174</v>
      </c>
      <c r="AB232">
        <f t="shared" si="74"/>
        <v>21.25</v>
      </c>
      <c r="AC232">
        <f t="shared" si="74"/>
        <v>21.25</v>
      </c>
      <c r="AE232" s="5">
        <f t="shared" si="62"/>
        <v>635</v>
      </c>
      <c r="AG232" s="56"/>
      <c r="AK232" s="2">
        <v>1000</v>
      </c>
      <c r="AL232" s="7">
        <f t="shared" si="55"/>
        <v>0.22599999999999998</v>
      </c>
      <c r="AM232" s="8">
        <f t="shared" si="56"/>
        <v>-7.099999999999998E-2</v>
      </c>
      <c r="AN232" s="56">
        <f t="shared" si="57"/>
        <v>4.5999999999999999E-2</v>
      </c>
      <c r="AO232" s="9">
        <f t="shared" si="58"/>
        <v>9.4000000000000014E-2</v>
      </c>
      <c r="AX232" s="147"/>
      <c r="BO232">
        <f t="shared" si="63"/>
        <v>0.61208499999999999</v>
      </c>
      <c r="BP232">
        <f t="shared" si="59"/>
        <v>1.2951699999999999</v>
      </c>
      <c r="BQ232">
        <f t="shared" si="64"/>
        <v>0.83978000000000008</v>
      </c>
      <c r="BR232">
        <f t="shared" si="65"/>
        <v>0.38439000000000001</v>
      </c>
      <c r="BS232" s="8"/>
      <c r="BT232" s="90"/>
      <c r="BU232" s="8"/>
      <c r="BV232" s="90"/>
      <c r="BW232" s="4">
        <f t="shared" si="60"/>
        <v>635</v>
      </c>
    </row>
    <row r="233" spans="1:75" thickTop="1" thickBot="1" x14ac:dyDescent="0.3">
      <c r="A233" s="4">
        <v>635</v>
      </c>
      <c r="B233" s="2">
        <v>2</v>
      </c>
      <c r="C233" s="2">
        <v>5</v>
      </c>
      <c r="E233" s="1">
        <v>132</v>
      </c>
      <c r="F233" s="1">
        <v>11</v>
      </c>
      <c r="G233" s="3">
        <f t="shared" si="70"/>
        <v>121</v>
      </c>
      <c r="I233" s="2">
        <v>90</v>
      </c>
      <c r="J233" s="3">
        <f t="shared" si="68"/>
        <v>215.19111570247935</v>
      </c>
      <c r="K233" s="6">
        <f t="shared" si="71"/>
        <v>174</v>
      </c>
      <c r="O233" s="8">
        <v>0.11700000000000001</v>
      </c>
      <c r="P233" s="9">
        <v>0.124</v>
      </c>
      <c r="R233" s="10">
        <v>84</v>
      </c>
      <c r="S233" s="11">
        <v>65</v>
      </c>
      <c r="T233" s="76">
        <v>2900</v>
      </c>
      <c r="V233" s="7">
        <v>322</v>
      </c>
      <c r="W233" s="74">
        <f t="shared" si="69"/>
        <v>15.20052303774834</v>
      </c>
      <c r="Y233" s="56">
        <v>1214</v>
      </c>
      <c r="Z233" s="13">
        <f t="shared" si="61"/>
        <v>0.1443042730794728</v>
      </c>
      <c r="AB233">
        <f t="shared" si="74"/>
        <v>21.25</v>
      </c>
      <c r="AC233">
        <f t="shared" si="74"/>
        <v>21.25</v>
      </c>
      <c r="AE233" s="5">
        <f t="shared" si="62"/>
        <v>635</v>
      </c>
      <c r="AG233" s="56"/>
      <c r="AK233" s="2">
        <v>900</v>
      </c>
      <c r="AL233" s="7">
        <f t="shared" si="55"/>
        <v>7.5600000000000001E-2</v>
      </c>
      <c r="AM233" s="8">
        <f t="shared" si="56"/>
        <v>4.1400000000000006E-2</v>
      </c>
      <c r="AN233" s="56">
        <f t="shared" si="57"/>
        <v>5.8499999999999996E-2</v>
      </c>
      <c r="AO233" s="9">
        <f t="shared" si="58"/>
        <v>6.5500000000000003E-2</v>
      </c>
      <c r="AX233" s="147"/>
      <c r="BO233">
        <f t="shared" si="63"/>
        <v>0.29529</v>
      </c>
      <c r="BP233">
        <f t="shared" si="59"/>
        <v>0.54918</v>
      </c>
      <c r="BQ233">
        <f t="shared" si="64"/>
        <v>0.37991999999999998</v>
      </c>
      <c r="BR233">
        <f t="shared" si="65"/>
        <v>0.21066000000000001</v>
      </c>
      <c r="BS233" s="8"/>
      <c r="BT233" s="90"/>
      <c r="BU233" s="8"/>
      <c r="BV233" s="90"/>
      <c r="BW233" s="4">
        <f t="shared" si="60"/>
        <v>635</v>
      </c>
    </row>
    <row r="234" spans="1:75" s="27" customFormat="1" thickTop="1" thickBot="1" x14ac:dyDescent="0.3">
      <c r="A234" s="21">
        <v>635</v>
      </c>
      <c r="B234" s="22">
        <v>2</v>
      </c>
      <c r="C234" s="22">
        <v>5</v>
      </c>
      <c r="D234" s="23"/>
      <c r="E234" s="24">
        <v>132</v>
      </c>
      <c r="F234" s="24">
        <v>11</v>
      </c>
      <c r="G234" s="25">
        <f t="shared" si="70"/>
        <v>121</v>
      </c>
      <c r="H234" s="23"/>
      <c r="I234" s="22">
        <v>110</v>
      </c>
      <c r="J234" s="3">
        <f t="shared" si="68"/>
        <v>214.26136363636363</v>
      </c>
      <c r="K234" s="26">
        <f t="shared" si="71"/>
        <v>174</v>
      </c>
      <c r="L234" s="23"/>
      <c r="N234" s="23"/>
      <c r="O234" s="28">
        <v>6.2E-2</v>
      </c>
      <c r="P234" s="29">
        <v>2.5999999999999999E-2</v>
      </c>
      <c r="Q234" s="23"/>
      <c r="R234" s="30">
        <v>103</v>
      </c>
      <c r="S234" s="31">
        <v>14</v>
      </c>
      <c r="T234" s="77">
        <v>1800</v>
      </c>
      <c r="U234" s="23"/>
      <c r="V234" s="33">
        <v>0</v>
      </c>
      <c r="W234" s="34" t="e">
        <f t="shared" si="69"/>
        <v>#DIV/0!</v>
      </c>
      <c r="X234" s="5"/>
      <c r="Y234" s="55">
        <v>214</v>
      </c>
      <c r="Z234" s="34">
        <f t="shared" si="61"/>
        <v>0.15707608728339806</v>
      </c>
      <c r="AB234" s="27">
        <v>5</v>
      </c>
      <c r="AC234" s="27">
        <v>5</v>
      </c>
      <c r="AE234" s="5">
        <f t="shared" si="62"/>
        <v>635</v>
      </c>
      <c r="AF234" s="28"/>
      <c r="AG234" s="55"/>
      <c r="AH234" s="3"/>
      <c r="AJ234" s="5"/>
      <c r="AK234" s="2">
        <v>800</v>
      </c>
      <c r="AL234" s="7">
        <f t="shared" si="55"/>
        <v>8.2400000000000001E-2</v>
      </c>
      <c r="AM234" s="8">
        <f t="shared" si="56"/>
        <v>-2.0400000000000001E-2</v>
      </c>
      <c r="AN234" s="56">
        <f t="shared" si="57"/>
        <v>1.12E-2</v>
      </c>
      <c r="AO234" s="9">
        <f t="shared" si="58"/>
        <v>1.4799999999999999E-2</v>
      </c>
      <c r="AP234" s="5"/>
      <c r="AQ234" s="91"/>
      <c r="AR234" s="5"/>
      <c r="AS234" s="96"/>
      <c r="AT234" s="5"/>
      <c r="AU234" s="30"/>
      <c r="AV234" s="31"/>
      <c r="AW234" s="32"/>
      <c r="AX234" s="147"/>
      <c r="BN234" s="5"/>
      <c r="BO234">
        <f t="shared" si="63"/>
        <v>0.2909175</v>
      </c>
      <c r="BP234">
        <f t="shared" si="59"/>
        <v>0.60223500000000008</v>
      </c>
      <c r="BQ234">
        <f t="shared" si="64"/>
        <v>0.39468999999999999</v>
      </c>
      <c r="BR234">
        <f t="shared" si="65"/>
        <v>0.18714500000000001</v>
      </c>
      <c r="BS234" s="28"/>
      <c r="BT234" s="91"/>
      <c r="BU234" s="28"/>
      <c r="BV234" s="91"/>
      <c r="BW234" s="4">
        <f t="shared" si="60"/>
        <v>635</v>
      </c>
    </row>
    <row r="235" spans="1:75" thickTop="1" thickBot="1" x14ac:dyDescent="0.3">
      <c r="A235" s="15">
        <v>121</v>
      </c>
      <c r="B235" s="16">
        <v>13</v>
      </c>
      <c r="C235" s="16">
        <v>1</v>
      </c>
      <c r="D235" s="17"/>
      <c r="E235" s="1">
        <v>76</v>
      </c>
      <c r="F235" s="1">
        <v>-67</v>
      </c>
      <c r="G235" s="18">
        <f t="shared" si="70"/>
        <v>143</v>
      </c>
      <c r="H235" s="17"/>
      <c r="I235" s="16">
        <v>72</v>
      </c>
      <c r="J235" s="3">
        <f t="shared" si="68"/>
        <v>154.66783216783216</v>
      </c>
      <c r="K235" s="20">
        <f t="shared" si="71"/>
        <v>126</v>
      </c>
      <c r="L235" s="17"/>
      <c r="N235" s="17"/>
      <c r="O235" s="8">
        <v>0.17599999999999999</v>
      </c>
      <c r="P235" s="9">
        <v>0.22700000000000001</v>
      </c>
      <c r="Q235" s="17"/>
      <c r="R235" s="10">
        <v>158</v>
      </c>
      <c r="S235" s="11">
        <v>87</v>
      </c>
      <c r="T235" s="12">
        <v>3700</v>
      </c>
      <c r="U235" s="17"/>
      <c r="V235" s="7">
        <v>0</v>
      </c>
      <c r="W235" s="74" t="e">
        <f t="shared" si="69"/>
        <v>#DIV/0!</v>
      </c>
      <c r="Y235" s="56">
        <v>972</v>
      </c>
      <c r="Z235" s="13">
        <f t="shared" si="61"/>
        <v>0.14501312555890292</v>
      </c>
      <c r="AB235">
        <v>75</v>
      </c>
      <c r="AC235">
        <v>75</v>
      </c>
      <c r="AD235" t="s">
        <v>53</v>
      </c>
      <c r="AE235" s="5">
        <f t="shared" si="62"/>
        <v>121</v>
      </c>
      <c r="AF235" s="8">
        <f>(O235*AB235+O236*AB236+O237*AB237)/100</f>
        <v>0.1656</v>
      </c>
      <c r="AG235" s="56">
        <f>(P235*AC235+P236*AC236+P237*AC237)/100</f>
        <v>0.22575000000000003</v>
      </c>
      <c r="AH235" s="3">
        <f>225-5.625*($B235-0.5)</f>
        <v>154.6875</v>
      </c>
      <c r="AI235">
        <f>K235</f>
        <v>126</v>
      </c>
      <c r="AK235" s="2">
        <v>800</v>
      </c>
      <c r="AL235" s="7">
        <f t="shared" si="55"/>
        <v>0.12639999999999998</v>
      </c>
      <c r="AM235" s="8">
        <f t="shared" si="56"/>
        <v>4.9600000000000005E-2</v>
      </c>
      <c r="AN235" s="56">
        <f t="shared" si="57"/>
        <v>6.9599999999999995E-2</v>
      </c>
      <c r="AO235" s="9">
        <f t="shared" si="58"/>
        <v>0.15740000000000001</v>
      </c>
      <c r="AQ235" s="90">
        <f>($AB235*AM235+$AB236*AM236+$AB237*AM237)/100</f>
        <v>5.756E-2</v>
      </c>
      <c r="AS235" s="95">
        <f>($AB235*AO235+$AB236*AO236+$AB237*AO237)/100</f>
        <v>0.16019000000000003</v>
      </c>
      <c r="AU235" s="10">
        <f>($AB235*R235+$AB236*R236+$AB237*R237)/100</f>
        <v>135.05000000000001</v>
      </c>
      <c r="AV235" s="11">
        <f>($AB235*S235+$AB236*S236+$AB237*S237)/100</f>
        <v>81.95</v>
      </c>
      <c r="AW235" s="12">
        <f>($AB235*T235+$AB236*T236+$AB237*T237)/100</f>
        <v>3600</v>
      </c>
      <c r="AX235" s="147">
        <f>($AB235*AK235+$AB236*AK236+$AB237*AK237)/100</f>
        <v>800</v>
      </c>
      <c r="BO235">
        <f t="shared" si="63"/>
        <v>0.52715500000000004</v>
      </c>
      <c r="BP235">
        <f t="shared" si="59"/>
        <v>1.00471</v>
      </c>
      <c r="BQ235">
        <f t="shared" si="64"/>
        <v>0.68633999999999995</v>
      </c>
      <c r="BR235">
        <f t="shared" si="65"/>
        <v>0.36797000000000002</v>
      </c>
      <c r="BS235" s="8">
        <f>($AB235*BO235+$AB236*BO236+$AB237*BO237)/100</f>
        <v>0.46574862500000003</v>
      </c>
      <c r="BT235" s="90">
        <f>($AB235*BP235+$AB236*BP236+$AB237*BP237)/100</f>
        <v>0.87393725</v>
      </c>
      <c r="BU235" s="8">
        <f>($AB235*BQ235+$AB236*BQ236+$AB237*BQ237)/100</f>
        <v>0.60181150000000005</v>
      </c>
      <c r="BV235" s="90">
        <f>($AB235*BR235+$AB236*BR236+$AB237*BR237)/100</f>
        <v>0.32968575</v>
      </c>
      <c r="BW235" s="4">
        <f t="shared" si="60"/>
        <v>121</v>
      </c>
    </row>
    <row r="236" spans="1:75" thickTop="1" thickBot="1" x14ac:dyDescent="0.3">
      <c r="A236" s="4">
        <v>121</v>
      </c>
      <c r="B236" s="93">
        <v>13</v>
      </c>
      <c r="C236" s="93">
        <v>1</v>
      </c>
      <c r="E236" s="1">
        <v>76</v>
      </c>
      <c r="F236" s="1">
        <v>-67</v>
      </c>
      <c r="G236" s="3">
        <f t="shared" si="70"/>
        <v>143</v>
      </c>
      <c r="I236" s="14">
        <v>10</v>
      </c>
      <c r="J236" s="3">
        <f t="shared" si="68"/>
        <v>157.10664335664336</v>
      </c>
      <c r="K236" s="6">
        <f t="shared" si="71"/>
        <v>126</v>
      </c>
      <c r="O236" s="8">
        <v>0.17599999999999999</v>
      </c>
      <c r="P236" s="9">
        <v>0.126</v>
      </c>
      <c r="R236" s="10">
        <v>183</v>
      </c>
      <c r="S236" s="11">
        <v>58</v>
      </c>
      <c r="T236" s="12">
        <v>3700</v>
      </c>
      <c r="V236" s="7">
        <v>0</v>
      </c>
      <c r="W236" s="74" t="e">
        <f t="shared" si="69"/>
        <v>#DIV/0!</v>
      </c>
      <c r="Y236" s="56">
        <v>851</v>
      </c>
      <c r="Z236" s="13">
        <f t="shared" si="61"/>
        <v>0.14551662493203268</v>
      </c>
      <c r="AB236">
        <v>5</v>
      </c>
      <c r="AC236">
        <v>5</v>
      </c>
      <c r="AD236" t="s">
        <v>54</v>
      </c>
      <c r="AE236" s="5">
        <f t="shared" si="62"/>
        <v>121</v>
      </c>
      <c r="AG236" s="56"/>
      <c r="AK236" s="2">
        <v>800</v>
      </c>
      <c r="AL236" s="7">
        <f t="shared" si="55"/>
        <v>0.1464</v>
      </c>
      <c r="AM236" s="8">
        <f t="shared" si="56"/>
        <v>2.9599999999999987E-2</v>
      </c>
      <c r="AN236" s="56">
        <f t="shared" si="57"/>
        <v>4.6399999999999997E-2</v>
      </c>
      <c r="AO236" s="9">
        <f t="shared" si="58"/>
        <v>7.9600000000000004E-2</v>
      </c>
      <c r="AX236" s="147"/>
      <c r="BO236">
        <f t="shared" si="63"/>
        <v>0.5827175</v>
      </c>
      <c r="BP236">
        <f t="shared" si="59"/>
        <v>1.1358349999999999</v>
      </c>
      <c r="BQ236">
        <f t="shared" si="64"/>
        <v>0.76709000000000005</v>
      </c>
      <c r="BR236">
        <f t="shared" si="65"/>
        <v>0.39834499999999995</v>
      </c>
      <c r="BS236" s="8"/>
      <c r="BT236" s="90"/>
      <c r="BU236" s="8"/>
      <c r="BV236" s="90"/>
      <c r="BW236" s="4">
        <f t="shared" si="60"/>
        <v>121</v>
      </c>
    </row>
    <row r="237" spans="1:75" s="27" customFormat="1" thickTop="1" thickBot="1" x14ac:dyDescent="0.3">
      <c r="A237" s="21">
        <v>121</v>
      </c>
      <c r="B237" s="22">
        <v>13</v>
      </c>
      <c r="C237" s="22">
        <v>1</v>
      </c>
      <c r="D237" s="23"/>
      <c r="E237" s="24">
        <v>76</v>
      </c>
      <c r="F237" s="24">
        <v>-67</v>
      </c>
      <c r="G237" s="25">
        <f t="shared" si="70"/>
        <v>143</v>
      </c>
      <c r="H237" s="23"/>
      <c r="I237" s="22">
        <v>133</v>
      </c>
      <c r="J237" s="3">
        <f t="shared" si="68"/>
        <v>152.26835664335664</v>
      </c>
      <c r="K237" s="26">
        <f t="shared" si="71"/>
        <v>126</v>
      </c>
      <c r="L237" s="23"/>
      <c r="N237" s="23"/>
      <c r="O237" s="28">
        <v>0.124</v>
      </c>
      <c r="P237" s="29">
        <v>0.246</v>
      </c>
      <c r="Q237" s="23"/>
      <c r="R237" s="30">
        <v>37</v>
      </c>
      <c r="S237" s="31">
        <v>69</v>
      </c>
      <c r="T237" s="32">
        <v>3200</v>
      </c>
      <c r="U237" s="23"/>
      <c r="V237" s="33">
        <v>195</v>
      </c>
      <c r="W237" s="34">
        <f t="shared" si="69"/>
        <v>15.851878478024343</v>
      </c>
      <c r="X237" s="5"/>
      <c r="Y237" s="55">
        <v>1124</v>
      </c>
      <c r="Z237" s="34">
        <f t="shared" si="61"/>
        <v>0.14453262508964021</v>
      </c>
      <c r="AB237" s="27">
        <v>20</v>
      </c>
      <c r="AC237" s="27">
        <v>20</v>
      </c>
      <c r="AE237" s="5">
        <f t="shared" si="62"/>
        <v>121</v>
      </c>
      <c r="AF237" s="28"/>
      <c r="AG237" s="55"/>
      <c r="AH237" s="3"/>
      <c r="AJ237" s="5"/>
      <c r="AK237" s="2">
        <v>800</v>
      </c>
      <c r="AL237" s="7">
        <f t="shared" si="55"/>
        <v>2.9599999999999998E-2</v>
      </c>
      <c r="AM237" s="8">
        <f t="shared" si="56"/>
        <v>9.4399999999999998E-2</v>
      </c>
      <c r="AN237" s="56">
        <f t="shared" si="57"/>
        <v>5.5199999999999999E-2</v>
      </c>
      <c r="AO237" s="9">
        <f t="shared" si="58"/>
        <v>0.1908</v>
      </c>
      <c r="AP237" s="5"/>
      <c r="AQ237" s="91"/>
      <c r="AR237" s="5"/>
      <c r="AS237" s="96"/>
      <c r="AT237" s="5"/>
      <c r="AU237" s="30"/>
      <c r="AV237" s="31"/>
      <c r="AW237" s="32"/>
      <c r="AX237" s="147"/>
      <c r="BN237" s="5"/>
      <c r="BO237">
        <f t="shared" si="63"/>
        <v>0.20623249999999999</v>
      </c>
      <c r="BP237">
        <f t="shared" si="59"/>
        <v>0.31806499999999999</v>
      </c>
      <c r="BQ237">
        <f t="shared" si="64"/>
        <v>0.24351</v>
      </c>
      <c r="BR237">
        <f t="shared" si="65"/>
        <v>0.16895499999999999</v>
      </c>
      <c r="BS237" s="28"/>
      <c r="BT237" s="91"/>
      <c r="BU237" s="28"/>
      <c r="BV237" s="91"/>
      <c r="BW237" s="4">
        <f t="shared" si="60"/>
        <v>121</v>
      </c>
    </row>
    <row r="238" spans="1:75" thickTop="1" thickBot="1" x14ac:dyDescent="0.3">
      <c r="A238" s="15">
        <v>123</v>
      </c>
      <c r="B238" s="16">
        <v>13</v>
      </c>
      <c r="C238" s="16">
        <v>3</v>
      </c>
      <c r="D238" s="17"/>
      <c r="E238" s="1">
        <v>67</v>
      </c>
      <c r="F238" s="1">
        <v>-61</v>
      </c>
      <c r="G238" s="18">
        <f t="shared" si="70"/>
        <v>128</v>
      </c>
      <c r="H238" s="17"/>
      <c r="I238" s="16">
        <v>64</v>
      </c>
      <c r="J238" s="3">
        <f t="shared" si="68"/>
        <v>154.6875</v>
      </c>
      <c r="K238" s="20">
        <f t="shared" si="71"/>
        <v>150</v>
      </c>
      <c r="L238" s="17"/>
      <c r="N238" s="17"/>
      <c r="O238" s="8">
        <v>8.5999999999999993E-2</v>
      </c>
      <c r="P238" s="9">
        <v>0.16</v>
      </c>
      <c r="Q238" s="17"/>
      <c r="R238" s="10">
        <v>54</v>
      </c>
      <c r="S238" s="11">
        <v>64</v>
      </c>
      <c r="T238" s="77">
        <v>0</v>
      </c>
      <c r="U238" s="17"/>
      <c r="V238" s="7">
        <v>462</v>
      </c>
      <c r="W238" s="74">
        <f t="shared" si="69"/>
        <v>14.887747366375534</v>
      </c>
      <c r="Y238" s="56">
        <v>2283</v>
      </c>
      <c r="Z238" s="13">
        <f t="shared" si="61"/>
        <v>0.14296160375753644</v>
      </c>
      <c r="AB238" s="72">
        <v>85</v>
      </c>
      <c r="AC238" s="72">
        <v>85</v>
      </c>
      <c r="AD238" t="s">
        <v>55</v>
      </c>
      <c r="AE238" s="5">
        <f t="shared" si="62"/>
        <v>123</v>
      </c>
      <c r="AF238" s="8">
        <f>(O238*AB238+O239*AB239+O240*AB240)/100</f>
        <v>8.5349999999999995E-2</v>
      </c>
      <c r="AG238" s="56">
        <f>(P238*AC238+P239*AC239+P240*AC240)/100</f>
        <v>0.14889999999999998</v>
      </c>
      <c r="AH238" s="3">
        <f>225-5.625*($B238-0.5)</f>
        <v>154.6875</v>
      </c>
      <c r="AI238">
        <f>K238</f>
        <v>150</v>
      </c>
      <c r="AK238" s="2">
        <v>800</v>
      </c>
      <c r="AL238" s="7">
        <f t="shared" si="55"/>
        <v>4.3199999999999995E-2</v>
      </c>
      <c r="AM238" s="8">
        <f t="shared" si="56"/>
        <v>4.2799999999999998E-2</v>
      </c>
      <c r="AN238" s="56">
        <f t="shared" si="57"/>
        <v>5.1199999999999996E-2</v>
      </c>
      <c r="AO238" s="9">
        <f t="shared" si="58"/>
        <v>0.10880000000000001</v>
      </c>
      <c r="AQ238" s="90">
        <f>($AB238*AM238+$AB239*AM239+$AB240*AM240)/100</f>
        <v>4.6349999999999995E-2</v>
      </c>
      <c r="AS238" s="95">
        <f>($AB238*AO238+$AB239*AO239+$AB240*AO240)/100</f>
        <v>0.10046000000000001</v>
      </c>
      <c r="AU238" s="10">
        <f>($AB238*R238+$AB239*R239+$AB240*R240)/100</f>
        <v>49.7</v>
      </c>
      <c r="AV238" s="11">
        <f>($AB238*S238+$AB239*S239+$AB240*S240)/100</f>
        <v>59.8</v>
      </c>
      <c r="AW238" s="12">
        <f>($AB238*T238+$AB239*T239+$AB240*T240)/100</f>
        <v>160</v>
      </c>
      <c r="AX238" s="147">
        <f>($AB238*AK238+$AB239*AK239+$AB240*AK240)/100</f>
        <v>810</v>
      </c>
      <c r="BO238">
        <f t="shared" si="63"/>
        <v>0.206015</v>
      </c>
      <c r="BP238">
        <f t="shared" si="59"/>
        <v>0.36922999999999995</v>
      </c>
      <c r="BQ238">
        <f t="shared" si="64"/>
        <v>0.26041999999999998</v>
      </c>
      <c r="BR238">
        <f t="shared" si="65"/>
        <v>0.15160999999999999</v>
      </c>
      <c r="BS238" s="8">
        <f>($AB238*BO238+$AB239*BO239+$AB240*BO240)/100</f>
        <v>0.19656825</v>
      </c>
      <c r="BT238" s="90">
        <f>($AB238*BP238+$AB239*BP239+$AB240*BP240)/100</f>
        <v>0.3467865</v>
      </c>
      <c r="BU238" s="8">
        <f>($AB238*BQ238+$AB239*BQ239+$AB240*BQ240)/100</f>
        <v>0.246641</v>
      </c>
      <c r="BV238" s="90">
        <f>($AB238*BR238+$AB239*BR239+$AB240*BR240)/100</f>
        <v>0.1464955</v>
      </c>
      <c r="BW238" s="4">
        <f t="shared" si="60"/>
        <v>123</v>
      </c>
    </row>
    <row r="239" spans="1:75" thickTop="1" thickBot="1" x14ac:dyDescent="0.3">
      <c r="A239" s="4">
        <v>123</v>
      </c>
      <c r="B239" s="93">
        <v>13</v>
      </c>
      <c r="C239" s="93">
        <v>3</v>
      </c>
      <c r="E239" s="1">
        <v>67</v>
      </c>
      <c r="F239" s="1">
        <v>-61</v>
      </c>
      <c r="G239" s="3">
        <f t="shared" si="70"/>
        <v>128</v>
      </c>
      <c r="I239" s="14">
        <v>10</v>
      </c>
      <c r="J239" s="3">
        <f t="shared" si="68"/>
        <v>157.060546875</v>
      </c>
      <c r="K239" s="6">
        <f t="shared" si="71"/>
        <v>150</v>
      </c>
      <c r="O239" s="8">
        <v>6.7000000000000004E-2</v>
      </c>
      <c r="P239" s="9">
        <v>3.7999999999999999E-2</v>
      </c>
      <c r="R239" s="10">
        <v>76</v>
      </c>
      <c r="S239" s="11">
        <v>24</v>
      </c>
      <c r="T239" s="12">
        <v>1600</v>
      </c>
      <c r="V239" s="7">
        <v>287</v>
      </c>
      <c r="W239" s="74">
        <f t="shared" si="69"/>
        <v>15.324594793171952</v>
      </c>
      <c r="Y239" s="56">
        <v>452</v>
      </c>
      <c r="Z239" s="13">
        <f t="shared" si="61"/>
        <v>0.14903821449725899</v>
      </c>
      <c r="AB239">
        <v>5</v>
      </c>
      <c r="AC239">
        <v>5</v>
      </c>
      <c r="AE239" s="5">
        <f t="shared" si="62"/>
        <v>123</v>
      </c>
      <c r="AG239" s="56"/>
      <c r="AK239" s="2">
        <v>600</v>
      </c>
      <c r="AL239" s="7">
        <f t="shared" si="55"/>
        <v>4.5599999999999995E-2</v>
      </c>
      <c r="AM239" s="8">
        <f t="shared" si="56"/>
        <v>2.1400000000000009E-2</v>
      </c>
      <c r="AN239" s="56">
        <f t="shared" si="57"/>
        <v>1.44E-2</v>
      </c>
      <c r="AO239" s="9">
        <f t="shared" si="58"/>
        <v>2.3599999999999999E-2</v>
      </c>
      <c r="AX239" s="147"/>
      <c r="BO239">
        <f t="shared" si="63"/>
        <v>0.25111</v>
      </c>
      <c r="BP239">
        <f t="shared" si="59"/>
        <v>0.48082000000000003</v>
      </c>
      <c r="BQ239">
        <f t="shared" si="64"/>
        <v>0.32768000000000003</v>
      </c>
      <c r="BR239">
        <f t="shared" si="65"/>
        <v>0.17454</v>
      </c>
      <c r="BS239" s="8"/>
      <c r="BT239" s="90"/>
      <c r="BU239" s="8"/>
      <c r="BV239" s="90"/>
      <c r="BW239" s="4">
        <f t="shared" si="60"/>
        <v>123</v>
      </c>
    </row>
    <row r="240" spans="1:75" s="27" customFormat="1" thickTop="1" thickBot="1" x14ac:dyDescent="0.3">
      <c r="A240" s="21">
        <v>123</v>
      </c>
      <c r="B240" s="22">
        <v>13</v>
      </c>
      <c r="C240" s="22">
        <v>3</v>
      </c>
      <c r="D240" s="23"/>
      <c r="E240" s="24">
        <v>67</v>
      </c>
      <c r="F240" s="24">
        <v>-61</v>
      </c>
      <c r="G240" s="25">
        <f t="shared" si="70"/>
        <v>128</v>
      </c>
      <c r="H240" s="23"/>
      <c r="I240" s="22">
        <v>118</v>
      </c>
      <c r="J240" s="3">
        <f t="shared" si="68"/>
        <v>152.314453125</v>
      </c>
      <c r="K240" s="26">
        <f t="shared" si="71"/>
        <v>150</v>
      </c>
      <c r="L240" s="23"/>
      <c r="N240" s="23"/>
      <c r="O240" s="28">
        <v>8.8999999999999996E-2</v>
      </c>
      <c r="P240" s="29">
        <v>0.11</v>
      </c>
      <c r="Q240" s="23"/>
      <c r="R240" s="30">
        <v>0</v>
      </c>
      <c r="S240" s="31">
        <v>42</v>
      </c>
      <c r="T240" s="32">
        <v>800</v>
      </c>
      <c r="U240" s="23"/>
      <c r="V240" s="33">
        <v>385</v>
      </c>
      <c r="W240" s="34">
        <f t="shared" si="69"/>
        <v>15.03243247029655</v>
      </c>
      <c r="X240" s="5"/>
      <c r="Y240" s="55">
        <v>1868</v>
      </c>
      <c r="Z240" s="34">
        <f t="shared" si="61"/>
        <v>0.14330154188208022</v>
      </c>
      <c r="AB240" s="27">
        <v>10</v>
      </c>
      <c r="AC240" s="27">
        <v>10</v>
      </c>
      <c r="AE240" s="5">
        <f t="shared" si="62"/>
        <v>123</v>
      </c>
      <c r="AF240" s="28"/>
      <c r="AG240" s="55"/>
      <c r="AH240" s="3"/>
      <c r="AJ240" s="5"/>
      <c r="AK240" s="2">
        <v>1000</v>
      </c>
      <c r="AL240" s="7">
        <f t="shared" si="55"/>
        <v>0</v>
      </c>
      <c r="AM240" s="8">
        <f t="shared" si="56"/>
        <v>8.8999999999999996E-2</v>
      </c>
      <c r="AN240" s="56">
        <f t="shared" si="57"/>
        <v>4.1999999999999996E-2</v>
      </c>
      <c r="AO240" s="9">
        <f t="shared" si="58"/>
        <v>6.8000000000000005E-2</v>
      </c>
      <c r="AP240" s="5"/>
      <c r="AQ240" s="91"/>
      <c r="AR240" s="5"/>
      <c r="AS240" s="96"/>
      <c r="AT240" s="5"/>
      <c r="AU240" s="30"/>
      <c r="AV240" s="31"/>
      <c r="AW240" s="32"/>
      <c r="AX240" s="147"/>
      <c r="BN240" s="5"/>
      <c r="BO240">
        <f t="shared" si="63"/>
        <v>8.8999999999999996E-2</v>
      </c>
      <c r="BP240">
        <f t="shared" si="59"/>
        <v>8.8999999999999996E-2</v>
      </c>
      <c r="BQ240">
        <f t="shared" si="64"/>
        <v>8.8999999999999996E-2</v>
      </c>
      <c r="BR240">
        <f t="shared" si="65"/>
        <v>8.8999999999999996E-2</v>
      </c>
      <c r="BS240" s="28"/>
      <c r="BT240" s="91"/>
      <c r="BU240" s="28"/>
      <c r="BV240" s="91"/>
      <c r="BW240" s="4">
        <f t="shared" si="60"/>
        <v>123</v>
      </c>
    </row>
    <row r="241" spans="1:75" thickTop="1" thickBot="1" x14ac:dyDescent="0.3">
      <c r="A241" s="15">
        <v>125</v>
      </c>
      <c r="B241" s="16">
        <v>13</v>
      </c>
      <c r="C241" s="16">
        <v>5</v>
      </c>
      <c r="D241" s="17"/>
      <c r="E241" s="1">
        <v>63</v>
      </c>
      <c r="F241" s="1">
        <v>-60</v>
      </c>
      <c r="G241" s="18">
        <f t="shared" si="70"/>
        <v>123</v>
      </c>
      <c r="H241" s="17"/>
      <c r="I241" s="16">
        <v>61</v>
      </c>
      <c r="J241" s="3">
        <f t="shared" si="68"/>
        <v>154.71036585365852</v>
      </c>
      <c r="K241" s="20">
        <f t="shared" si="71"/>
        <v>174</v>
      </c>
      <c r="L241" s="17"/>
      <c r="N241" s="17"/>
      <c r="O241" s="8">
        <v>0.13300000000000001</v>
      </c>
      <c r="P241" s="9">
        <v>0.45900000000000002</v>
      </c>
      <c r="Q241" s="17"/>
      <c r="R241" s="76">
        <v>0</v>
      </c>
      <c r="S241" s="76">
        <v>90</v>
      </c>
      <c r="T241" s="76">
        <v>2500</v>
      </c>
      <c r="U241" s="17"/>
      <c r="V241" s="7">
        <v>0</v>
      </c>
      <c r="W241" s="74" t="e">
        <f t="shared" si="69"/>
        <v>#DIV/0!</v>
      </c>
      <c r="Y241" s="56">
        <v>5571</v>
      </c>
      <c r="Z241" s="13">
        <f t="shared" si="61"/>
        <v>0.14205457045535505</v>
      </c>
      <c r="AB241" s="72">
        <v>80</v>
      </c>
      <c r="AC241" s="72">
        <v>80</v>
      </c>
      <c r="AD241" t="s">
        <v>56</v>
      </c>
      <c r="AE241" s="5">
        <f t="shared" si="62"/>
        <v>125</v>
      </c>
      <c r="AF241" s="8">
        <f>(O241*AB241+O242*AB242+O243*AB243)/100</f>
        <v>0.12380000000000001</v>
      </c>
      <c r="AG241" s="56">
        <f>(P241*AC241+P242*AC242+P243*AC243)/100</f>
        <v>0.37189999999999995</v>
      </c>
      <c r="AH241" s="3">
        <f>225-5.625*($B241-0.5)</f>
        <v>154.6875</v>
      </c>
      <c r="AI241">
        <f>K241</f>
        <v>174</v>
      </c>
      <c r="AK241" s="2">
        <v>1500</v>
      </c>
      <c r="AL241" s="7">
        <f t="shared" si="55"/>
        <v>0</v>
      </c>
      <c r="AM241" s="8">
        <f t="shared" si="56"/>
        <v>0.13300000000000001</v>
      </c>
      <c r="AN241" s="56">
        <f t="shared" si="57"/>
        <v>0.13499999999999998</v>
      </c>
      <c r="AO241" s="9">
        <f t="shared" si="58"/>
        <v>0.32400000000000007</v>
      </c>
      <c r="AQ241" s="90">
        <f>($AB241*AM241+$AB242*AM242+$AB243*AM243)/100</f>
        <v>0.11554000000000002</v>
      </c>
      <c r="AS241" s="95">
        <f>($AB241*AO241+$AB242*AO242+$AB243*AO243)/100</f>
        <v>0.26187000000000005</v>
      </c>
      <c r="AU241" s="10">
        <f>($AB241*R241+$AB242*R242+$AB243*R243)/100</f>
        <v>11.8</v>
      </c>
      <c r="AV241" s="11">
        <f>($AB241*S241+$AB242*S242+$AB243*S243)/100</f>
        <v>74.900000000000006</v>
      </c>
      <c r="AW241" s="12">
        <f>($AB241*T241+$AB242*T242+$AB243*T243)/100</f>
        <v>2165</v>
      </c>
      <c r="AX241" s="147">
        <f>($AB241*AK241+$AB242*AK242+$AB243*AK243)/100</f>
        <v>1340</v>
      </c>
      <c r="BO241">
        <f t="shared" si="63"/>
        <v>0.13300000000000001</v>
      </c>
      <c r="BP241">
        <f t="shared" si="59"/>
        <v>0.13300000000000001</v>
      </c>
      <c r="BQ241">
        <f t="shared" si="64"/>
        <v>0.13300000000000001</v>
      </c>
      <c r="BR241">
        <f t="shared" si="65"/>
        <v>0.13300000000000001</v>
      </c>
      <c r="BS241" s="8">
        <f>($AB241*BO241+$AB242*BO242+$AB243*BO243)/100</f>
        <v>0.15120549999999999</v>
      </c>
      <c r="BT241" s="90">
        <f>($AB241*BP241+$AB242*BP242+$AB243*BP243)/100</f>
        <v>0.18687100000000001</v>
      </c>
      <c r="BU241" s="8">
        <f>($AB241*BQ241+$AB242*BQ242+$AB243*BQ243)/100</f>
        <v>0.16309399999999999</v>
      </c>
      <c r="BV241" s="90">
        <f>($AB241*BR241+$AB242*BR242+$AB243*BR243)/100</f>
        <v>0.139317</v>
      </c>
      <c r="BW241" s="4">
        <f t="shared" si="60"/>
        <v>125</v>
      </c>
    </row>
    <row r="242" spans="1:75" thickTop="1" thickBot="1" x14ac:dyDescent="0.3">
      <c r="A242" s="4">
        <v>125</v>
      </c>
      <c r="B242" s="93">
        <v>13</v>
      </c>
      <c r="C242" s="93">
        <v>5</v>
      </c>
      <c r="E242" s="1">
        <v>63</v>
      </c>
      <c r="F242" s="1">
        <v>-60</v>
      </c>
      <c r="G242" s="3">
        <f t="shared" si="70"/>
        <v>123</v>
      </c>
      <c r="I242" s="14">
        <v>10</v>
      </c>
      <c r="J242" s="3">
        <f t="shared" si="68"/>
        <v>157.04268292682926</v>
      </c>
      <c r="K242" s="6">
        <f t="shared" si="71"/>
        <v>174</v>
      </c>
      <c r="O242" s="8">
        <v>0.10100000000000001</v>
      </c>
      <c r="P242" s="9">
        <v>3.1E-2</v>
      </c>
      <c r="R242" s="10">
        <v>63</v>
      </c>
      <c r="S242" s="11">
        <v>15</v>
      </c>
      <c r="T242" s="12">
        <v>900</v>
      </c>
      <c r="V242" s="7">
        <v>417</v>
      </c>
      <c r="W242" s="74">
        <f t="shared" si="69"/>
        <v>14.965988619123092</v>
      </c>
      <c r="Y242" s="56">
        <v>395</v>
      </c>
      <c r="Z242" s="13">
        <f t="shared" si="61"/>
        <v>0.15010544816768062</v>
      </c>
      <c r="AB242">
        <v>10</v>
      </c>
      <c r="AC242">
        <v>10</v>
      </c>
      <c r="AE242" s="5">
        <f t="shared" si="62"/>
        <v>125</v>
      </c>
      <c r="AG242" s="56"/>
      <c r="AK242" s="2">
        <v>700</v>
      </c>
      <c r="AL242" s="7">
        <f t="shared" si="55"/>
        <v>4.41E-2</v>
      </c>
      <c r="AM242" s="8">
        <f t="shared" si="56"/>
        <v>5.6900000000000006E-2</v>
      </c>
      <c r="AN242" s="56">
        <f t="shared" si="57"/>
        <v>1.0499999999999999E-2</v>
      </c>
      <c r="AO242" s="9">
        <f t="shared" si="58"/>
        <v>2.0500000000000001E-2</v>
      </c>
      <c r="AX242" s="147"/>
      <c r="BO242">
        <f t="shared" si="63"/>
        <v>0.2473175</v>
      </c>
      <c r="BP242">
        <f t="shared" si="59"/>
        <v>0.43773499999999999</v>
      </c>
      <c r="BQ242">
        <f t="shared" si="64"/>
        <v>0.31079000000000001</v>
      </c>
      <c r="BR242">
        <f t="shared" si="65"/>
        <v>0.18384500000000001</v>
      </c>
      <c r="BS242" s="8"/>
      <c r="BT242" s="90"/>
      <c r="BU242" s="8"/>
      <c r="BV242" s="90"/>
      <c r="BW242" s="4">
        <f t="shared" si="60"/>
        <v>125</v>
      </c>
    </row>
    <row r="243" spans="1:75" s="27" customFormat="1" thickTop="1" thickBot="1" x14ac:dyDescent="0.3">
      <c r="A243" s="21">
        <v>125</v>
      </c>
      <c r="B243" s="22">
        <v>13</v>
      </c>
      <c r="C243" s="22">
        <v>5</v>
      </c>
      <c r="D243" s="23"/>
      <c r="E243" s="24">
        <v>63</v>
      </c>
      <c r="F243" s="24">
        <v>-60</v>
      </c>
      <c r="G243" s="25">
        <f t="shared" si="70"/>
        <v>123</v>
      </c>
      <c r="H243" s="23"/>
      <c r="I243" s="22">
        <v>111</v>
      </c>
      <c r="J243" s="3">
        <f t="shared" si="68"/>
        <v>152.42378048780489</v>
      </c>
      <c r="K243" s="26">
        <f t="shared" si="71"/>
        <v>174</v>
      </c>
      <c r="L243" s="23"/>
      <c r="N243" s="23"/>
      <c r="O243" s="28">
        <v>7.2999999999999995E-2</v>
      </c>
      <c r="P243" s="29">
        <v>1.6E-2</v>
      </c>
      <c r="Q243" s="23"/>
      <c r="R243" s="30">
        <v>55</v>
      </c>
      <c r="S243" s="31">
        <v>14</v>
      </c>
      <c r="T243" s="32">
        <v>750</v>
      </c>
      <c r="U243" s="23"/>
      <c r="V243" s="33">
        <v>314</v>
      </c>
      <c r="W243" s="34">
        <f t="shared" si="69"/>
        <v>15.226527304607634</v>
      </c>
      <c r="X243" s="5"/>
      <c r="Y243" s="55">
        <v>217</v>
      </c>
      <c r="Z243" s="34">
        <f t="shared" si="61"/>
        <v>0.15687031245865352</v>
      </c>
      <c r="AB243" s="27">
        <v>10</v>
      </c>
      <c r="AC243" s="27">
        <v>10</v>
      </c>
      <c r="AE243" s="5">
        <f t="shared" si="62"/>
        <v>125</v>
      </c>
      <c r="AF243" s="28"/>
      <c r="AG243" s="55"/>
      <c r="AH243" s="3"/>
      <c r="AJ243" s="5"/>
      <c r="AK243" s="2">
        <v>700</v>
      </c>
      <c r="AL243" s="7">
        <f t="shared" si="55"/>
        <v>3.85E-2</v>
      </c>
      <c r="AM243" s="8">
        <f t="shared" si="56"/>
        <v>3.4499999999999996E-2</v>
      </c>
      <c r="AN243" s="56">
        <f t="shared" si="57"/>
        <v>9.7999999999999997E-3</v>
      </c>
      <c r="AO243" s="9">
        <f t="shared" si="58"/>
        <v>6.2000000000000006E-3</v>
      </c>
      <c r="AP243" s="5"/>
      <c r="AQ243" s="91"/>
      <c r="AR243" s="5"/>
      <c r="AS243" s="96"/>
      <c r="AT243" s="5"/>
      <c r="AU243" s="30"/>
      <c r="AV243" s="31"/>
      <c r="AW243" s="32"/>
      <c r="AX243" s="147"/>
      <c r="BN243" s="5"/>
      <c r="BO243">
        <f t="shared" si="63"/>
        <v>0.20073750000000001</v>
      </c>
      <c r="BP243">
        <f t="shared" si="59"/>
        <v>0.366975</v>
      </c>
      <c r="BQ243">
        <f t="shared" si="64"/>
        <v>0.25614999999999999</v>
      </c>
      <c r="BR243">
        <f t="shared" si="65"/>
        <v>0.14532499999999998</v>
      </c>
      <c r="BS243" s="28"/>
      <c r="BT243" s="91"/>
      <c r="BU243" s="28"/>
      <c r="BV243" s="91"/>
      <c r="BW243" s="4">
        <f t="shared" si="60"/>
        <v>125</v>
      </c>
    </row>
    <row r="244" spans="1:75" thickTop="1" thickBot="1" x14ac:dyDescent="0.3">
      <c r="A244" s="15">
        <v>127</v>
      </c>
      <c r="B244" s="16">
        <v>13</v>
      </c>
      <c r="C244" s="16">
        <v>7</v>
      </c>
      <c r="D244" s="17"/>
      <c r="E244" s="1">
        <v>63</v>
      </c>
      <c r="F244" s="1">
        <v>-59</v>
      </c>
      <c r="G244" s="18">
        <f t="shared" si="70"/>
        <v>122</v>
      </c>
      <c r="H244" s="17"/>
      <c r="I244" s="16">
        <v>58</v>
      </c>
      <c r="J244" s="3">
        <f t="shared" si="68"/>
        <v>154.82581967213116</v>
      </c>
      <c r="K244" s="20">
        <f t="shared" si="71"/>
        <v>198</v>
      </c>
      <c r="L244" s="17"/>
      <c r="N244" s="17"/>
      <c r="O244" s="8">
        <v>0.25600000000000001</v>
      </c>
      <c r="P244" s="9">
        <v>0.125</v>
      </c>
      <c r="Q244" s="17"/>
      <c r="R244" s="76">
        <v>55</v>
      </c>
      <c r="S244" s="11">
        <v>40</v>
      </c>
      <c r="T244" s="12">
        <v>2800</v>
      </c>
      <c r="U244" s="17"/>
      <c r="V244" s="7">
        <v>281</v>
      </c>
      <c r="W244" s="74">
        <f t="shared" si="69"/>
        <v>15.348849748828075</v>
      </c>
      <c r="Y244" s="56">
        <v>598</v>
      </c>
      <c r="Z244" s="13">
        <f t="shared" si="61"/>
        <v>0.14721494761971554</v>
      </c>
      <c r="AB244" s="72">
        <v>80</v>
      </c>
      <c r="AC244" s="72">
        <v>80</v>
      </c>
      <c r="AD244" t="s">
        <v>57</v>
      </c>
      <c r="AE244" s="5">
        <f t="shared" si="62"/>
        <v>127</v>
      </c>
      <c r="AF244" s="8">
        <f>(O244*AB244+O245*AB245+O246*AB246)/100</f>
        <v>0.2195</v>
      </c>
      <c r="AG244" s="56">
        <f>(P244*AC244+P245*AC245+P246*AC246)/100</f>
        <v>0.1043</v>
      </c>
      <c r="AH244" s="3">
        <f>225-5.625*($B244-0.5)</f>
        <v>154.6875</v>
      </c>
      <c r="AI244">
        <f>K244</f>
        <v>198</v>
      </c>
      <c r="AK244" s="2">
        <v>1600</v>
      </c>
      <c r="AL244" s="7">
        <f t="shared" si="55"/>
        <v>8.7999999999999995E-2</v>
      </c>
      <c r="AM244" s="8">
        <f t="shared" si="56"/>
        <v>0.16800000000000001</v>
      </c>
      <c r="AN244" s="56">
        <f t="shared" si="57"/>
        <v>6.4000000000000001E-2</v>
      </c>
      <c r="AO244" s="9">
        <f t="shared" si="58"/>
        <v>6.0999999999999999E-2</v>
      </c>
      <c r="AQ244" s="90">
        <f>($AB244*AM244+$AB245*AM245+$AB246*AM246)/100</f>
        <v>0.13836000000000001</v>
      </c>
      <c r="AS244" s="95">
        <f>($AB244*AO244+$AB245*AO245+$AB246*AO246)/100</f>
        <v>5.1239999999999994E-2</v>
      </c>
      <c r="AU244" s="10">
        <f>($AB244*R244+$AB245*R245+$AB246*R246)/100</f>
        <v>61.9</v>
      </c>
      <c r="AV244" s="11">
        <f>($AB244*S244+$AB245*S245+$AB246*S246)/100</f>
        <v>35.1</v>
      </c>
      <c r="AW244" s="12">
        <f>($AB244*T244+$AB245*T245+$AB246*T246)/100</f>
        <v>2570</v>
      </c>
      <c r="AX244" s="147">
        <f>($AB244*AK244+$AB245*AK245+$AB246*AK246)/100</f>
        <v>1400</v>
      </c>
      <c r="BO244">
        <f t="shared" si="63"/>
        <v>0.33423750000000002</v>
      </c>
      <c r="BP244">
        <f t="shared" si="59"/>
        <v>0.500475</v>
      </c>
      <c r="BQ244">
        <f t="shared" si="64"/>
        <v>0.38965</v>
      </c>
      <c r="BR244">
        <f t="shared" si="65"/>
        <v>0.27882499999999999</v>
      </c>
      <c r="BS244" s="8">
        <f>($AB244*BO244+$AB245*BO245+$AB246*BO246)/100</f>
        <v>0.32545275000000001</v>
      </c>
      <c r="BT244" s="90">
        <f>($AB244*BP244+$AB245*BP245+$AB246*BP246)/100</f>
        <v>0.51254549999999999</v>
      </c>
      <c r="BU244" s="8">
        <f>($AB244*BQ244+$AB245*BQ245+$AB246*BQ246)/100</f>
        <v>0.38781700000000002</v>
      </c>
      <c r="BV244" s="90">
        <f>($AB244*BR244+$AB245*BR245+$AB246*BR246)/100</f>
        <v>0.2630885</v>
      </c>
      <c r="BW244" s="4">
        <f t="shared" si="60"/>
        <v>127</v>
      </c>
    </row>
    <row r="245" spans="1:75" thickTop="1" thickBot="1" x14ac:dyDescent="0.3">
      <c r="A245" s="4">
        <v>127</v>
      </c>
      <c r="B245" s="93">
        <v>13</v>
      </c>
      <c r="C245" s="93">
        <v>7</v>
      </c>
      <c r="E245" s="1">
        <v>63</v>
      </c>
      <c r="F245" s="1">
        <v>-59</v>
      </c>
      <c r="G245" s="3">
        <f t="shared" si="70"/>
        <v>122</v>
      </c>
      <c r="I245" s="14">
        <v>10</v>
      </c>
      <c r="J245" s="3">
        <f t="shared" si="68"/>
        <v>157.0389344262295</v>
      </c>
      <c r="K245" s="6">
        <f t="shared" si="71"/>
        <v>198</v>
      </c>
      <c r="O245" s="8">
        <v>7.2999999999999995E-2</v>
      </c>
      <c r="P245" s="9">
        <v>2.4E-2</v>
      </c>
      <c r="R245" s="10">
        <v>117</v>
      </c>
      <c r="S245" s="11">
        <v>21</v>
      </c>
      <c r="T245" s="12">
        <v>2600</v>
      </c>
      <c r="V245" s="7">
        <v>0</v>
      </c>
      <c r="W245" s="74" t="e">
        <f t="shared" si="69"/>
        <v>#DIV/0!</v>
      </c>
      <c r="Y245" s="56">
        <v>159</v>
      </c>
      <c r="Z245" s="13">
        <f t="shared" si="61"/>
        <v>0.16213977974605934</v>
      </c>
      <c r="AB245">
        <v>10</v>
      </c>
      <c r="AC245">
        <v>10</v>
      </c>
      <c r="AE245" s="5">
        <f t="shared" si="62"/>
        <v>127</v>
      </c>
      <c r="AG245" s="56"/>
      <c r="AK245" s="2">
        <v>600</v>
      </c>
      <c r="AL245" s="7">
        <f t="shared" si="55"/>
        <v>7.0199999999999999E-2</v>
      </c>
      <c r="AM245" s="8">
        <f t="shared" si="56"/>
        <v>2.7999999999999969E-3</v>
      </c>
      <c r="AN245" s="56">
        <f t="shared" si="57"/>
        <v>1.26E-2</v>
      </c>
      <c r="AO245" s="9">
        <f t="shared" si="58"/>
        <v>1.14E-2</v>
      </c>
      <c r="AX245" s="147"/>
      <c r="BO245">
        <f t="shared" si="63"/>
        <v>0.35643249999999999</v>
      </c>
      <c r="BP245">
        <f t="shared" si="59"/>
        <v>0.71006499999999995</v>
      </c>
      <c r="BQ245">
        <f t="shared" si="64"/>
        <v>0.47431000000000001</v>
      </c>
      <c r="BR245">
        <f t="shared" si="65"/>
        <v>0.23855500000000002</v>
      </c>
      <c r="BS245" s="8"/>
      <c r="BT245" s="90"/>
      <c r="BU245" s="8"/>
      <c r="BV245" s="90"/>
      <c r="BW245" s="4">
        <f t="shared" si="60"/>
        <v>127</v>
      </c>
    </row>
    <row r="246" spans="1:75" s="27" customFormat="1" thickTop="1" thickBot="1" x14ac:dyDescent="0.3">
      <c r="A246" s="21">
        <v>127</v>
      </c>
      <c r="B246" s="22">
        <v>13</v>
      </c>
      <c r="C246" s="22">
        <v>7</v>
      </c>
      <c r="D246" s="23"/>
      <c r="E246" s="24">
        <v>63</v>
      </c>
      <c r="F246" s="24">
        <v>-59</v>
      </c>
      <c r="G246" s="25">
        <f t="shared" si="70"/>
        <v>122</v>
      </c>
      <c r="H246" s="23"/>
      <c r="I246" s="22">
        <v>112</v>
      </c>
      <c r="J246" s="3">
        <f t="shared" si="68"/>
        <v>152.3360655737705</v>
      </c>
      <c r="K246" s="26">
        <f t="shared" si="71"/>
        <v>198</v>
      </c>
      <c r="L246" s="23"/>
      <c r="N246" s="23"/>
      <c r="O246" s="28">
        <v>7.3999999999999996E-2</v>
      </c>
      <c r="P246" s="29">
        <v>1.9E-2</v>
      </c>
      <c r="Q246" s="23"/>
      <c r="R246" s="30">
        <v>62</v>
      </c>
      <c r="S246" s="31">
        <v>10</v>
      </c>
      <c r="T246" s="32">
        <v>700</v>
      </c>
      <c r="U246" s="23"/>
      <c r="V246" s="33">
        <v>131</v>
      </c>
      <c r="W246" s="34">
        <f t="shared" si="69"/>
        <v>16.623353388007953</v>
      </c>
      <c r="X246" s="5"/>
      <c r="Y246" s="55">
        <v>100</v>
      </c>
      <c r="Z246" s="34">
        <f t="shared" si="61"/>
        <v>0.17320508075688776</v>
      </c>
      <c r="AB246" s="27">
        <v>10</v>
      </c>
      <c r="AC246" s="27">
        <v>10</v>
      </c>
      <c r="AE246" s="5">
        <f t="shared" si="62"/>
        <v>127</v>
      </c>
      <c r="AF246" s="28"/>
      <c r="AG246" s="55"/>
      <c r="AH246" s="3"/>
      <c r="AJ246" s="5"/>
      <c r="AK246" s="2">
        <v>600</v>
      </c>
      <c r="AL246" s="7">
        <f t="shared" si="55"/>
        <v>3.7199999999999997E-2</v>
      </c>
      <c r="AM246" s="8">
        <f t="shared" si="56"/>
        <v>3.6799999999999999E-2</v>
      </c>
      <c r="AN246" s="56">
        <f t="shared" si="57"/>
        <v>6.0000000000000001E-3</v>
      </c>
      <c r="AO246" s="9">
        <f t="shared" si="58"/>
        <v>1.2999999999999999E-2</v>
      </c>
      <c r="AP246" s="5"/>
      <c r="AQ246" s="91"/>
      <c r="AR246" s="5"/>
      <c r="AS246" s="96"/>
      <c r="AT246" s="5"/>
      <c r="AU246" s="30"/>
      <c r="AV246" s="31"/>
      <c r="AW246" s="32"/>
      <c r="AX246" s="147"/>
      <c r="BN246" s="5"/>
      <c r="BO246">
        <f t="shared" si="63"/>
        <v>0.22419499999999998</v>
      </c>
      <c r="BP246">
        <f t="shared" si="59"/>
        <v>0.41159000000000001</v>
      </c>
      <c r="BQ246">
        <f t="shared" si="64"/>
        <v>0.28665999999999997</v>
      </c>
      <c r="BR246">
        <f t="shared" si="65"/>
        <v>0.16172999999999998</v>
      </c>
      <c r="BS246" s="28"/>
      <c r="BT246" s="91"/>
      <c r="BU246" s="28"/>
      <c r="BV246" s="91"/>
      <c r="BW246" s="4">
        <f t="shared" si="60"/>
        <v>127</v>
      </c>
    </row>
    <row r="247" spans="1:75" thickTop="1" thickBot="1" x14ac:dyDescent="0.3">
      <c r="A247" s="15">
        <v>129</v>
      </c>
      <c r="B247" s="16">
        <v>13</v>
      </c>
      <c r="C247" s="16">
        <v>9</v>
      </c>
      <c r="D247" s="17"/>
      <c r="E247" s="1">
        <v>72</v>
      </c>
      <c r="F247" s="1">
        <v>-63</v>
      </c>
      <c r="G247" s="18">
        <f t="shared" si="70"/>
        <v>135</v>
      </c>
      <c r="H247" s="17"/>
      <c r="I247" s="16">
        <v>68</v>
      </c>
      <c r="J247" s="3">
        <f t="shared" si="68"/>
        <v>154.66666666666669</v>
      </c>
      <c r="K247" s="20">
        <f t="shared" si="71"/>
        <v>222</v>
      </c>
      <c r="L247" s="17"/>
      <c r="M247" t="s">
        <v>58</v>
      </c>
      <c r="N247" s="17"/>
      <c r="O247" s="8">
        <v>0.34599999999999997</v>
      </c>
      <c r="P247" s="9">
        <v>0.16800000000000001</v>
      </c>
      <c r="Q247" s="17"/>
      <c r="R247" s="10">
        <v>330</v>
      </c>
      <c r="S247" s="11">
        <v>50</v>
      </c>
      <c r="T247" s="12">
        <v>3300</v>
      </c>
      <c r="U247" s="17"/>
      <c r="V247" s="7">
        <v>0</v>
      </c>
      <c r="W247" s="74" t="e">
        <f t="shared" si="69"/>
        <v>#DIV/0!</v>
      </c>
      <c r="Y247" s="56">
        <v>1845</v>
      </c>
      <c r="Z247" s="13">
        <f t="shared" si="61"/>
        <v>0.14332482485617837</v>
      </c>
      <c r="AB247" s="72">
        <v>75</v>
      </c>
      <c r="AC247" s="72">
        <v>75</v>
      </c>
      <c r="AE247" s="5">
        <f t="shared" si="62"/>
        <v>129</v>
      </c>
      <c r="AF247" s="8">
        <f>(O247*AB247+O248*AB248+O249*AB249)/100</f>
        <v>0.35749999999999998</v>
      </c>
      <c r="AG247" s="56">
        <f>(P247*AC247+P248*AC248+P249*AC249)/100</f>
        <v>0.14225000000000002</v>
      </c>
      <c r="AH247" s="3">
        <f>225-5.625*($B247-0.5)</f>
        <v>154.6875</v>
      </c>
      <c r="AI247">
        <f>K247</f>
        <v>222</v>
      </c>
      <c r="AK247" s="2">
        <v>1600</v>
      </c>
      <c r="AL247" s="7">
        <f t="shared" si="55"/>
        <v>0.52800000000000002</v>
      </c>
      <c r="AM247" s="8">
        <f t="shared" si="56"/>
        <v>-0.18200000000000005</v>
      </c>
      <c r="AN247" s="56">
        <f t="shared" si="57"/>
        <v>0.08</v>
      </c>
      <c r="AO247" s="9">
        <f t="shared" si="58"/>
        <v>8.8000000000000009E-2</v>
      </c>
      <c r="AQ247" s="90">
        <f>($AB247*AM247+$AB248*AM248+$AB249*AM249)/100</f>
        <v>-9.1870000000000007E-2</v>
      </c>
      <c r="AS247" s="95">
        <f>($AB247*AO247+$AB248*AO248+$AB249*AO249)/100</f>
        <v>7.5310000000000002E-2</v>
      </c>
      <c r="AU247" s="10">
        <f>($AB247*R247+$AB248*R248+$AB249*R249)/100</f>
        <v>289.64999999999998</v>
      </c>
      <c r="AV247" s="11">
        <f>($AB247*S247+$AB248*S248+$AB249*S249)/100</f>
        <v>45.7</v>
      </c>
      <c r="AW247" s="12">
        <f>($AB247*T247+$AB248*T248+$AB249*T249)/100</f>
        <v>3045</v>
      </c>
      <c r="AX247" s="147">
        <f>($AB247*AK247+$AB248*AK248+$AB249*AK249)/100</f>
        <v>1510</v>
      </c>
      <c r="BO247">
        <f t="shared" si="63"/>
        <v>0.81542499999999996</v>
      </c>
      <c r="BP247">
        <f t="shared" si="59"/>
        <v>1.8128500000000001</v>
      </c>
      <c r="BQ247">
        <f t="shared" si="64"/>
        <v>1.1478999999999999</v>
      </c>
      <c r="BR247">
        <f t="shared" si="65"/>
        <v>0.48294999999999999</v>
      </c>
      <c r="BS247" s="8">
        <f>($AB247*BO247+$AB248*BO248+$AB249*BO249)/100</f>
        <v>0.78359712500000001</v>
      </c>
      <c r="BT247" s="90">
        <f>($AB247*BP247+$AB248*BP248+$AB249*BP249)/100</f>
        <v>1.6590642499999999</v>
      </c>
      <c r="BU247" s="8">
        <f>($AB247*BQ247+$AB248*BQ248+$AB249*BQ249)/100</f>
        <v>1.0754195000000002</v>
      </c>
      <c r="BV247" s="90">
        <f>($AB247*BR247+$AB248*BR248+$AB249*BR249)/100</f>
        <v>0.49177475000000004</v>
      </c>
      <c r="BW247" s="4">
        <f t="shared" si="60"/>
        <v>129</v>
      </c>
    </row>
    <row r="248" spans="1:75" thickTop="1" thickBot="1" x14ac:dyDescent="0.3">
      <c r="A248" s="4">
        <v>129</v>
      </c>
      <c r="B248" s="93">
        <v>13</v>
      </c>
      <c r="C248" s="93">
        <v>9</v>
      </c>
      <c r="E248" s="1">
        <v>72</v>
      </c>
      <c r="F248" s="1">
        <v>-63</v>
      </c>
      <c r="G248" s="3">
        <f t="shared" si="70"/>
        <v>135</v>
      </c>
      <c r="I248" s="14">
        <v>10</v>
      </c>
      <c r="J248" s="3">
        <f t="shared" si="68"/>
        <v>157.08333333333331</v>
      </c>
      <c r="K248" s="6">
        <f t="shared" si="71"/>
        <v>222</v>
      </c>
      <c r="O248" s="8">
        <v>0.17</v>
      </c>
      <c r="P248" s="9">
        <v>8.3000000000000004E-2</v>
      </c>
      <c r="R248" s="10">
        <v>141</v>
      </c>
      <c r="S248" s="11">
        <v>40</v>
      </c>
      <c r="T248" s="12">
        <v>3000</v>
      </c>
      <c r="V248" s="7">
        <v>0</v>
      </c>
      <c r="W248" s="74" t="e">
        <f t="shared" si="69"/>
        <v>#DIV/0!</v>
      </c>
      <c r="Y248" s="56">
        <v>944</v>
      </c>
      <c r="Z248" s="13">
        <f t="shared" si="61"/>
        <v>0.14511830357986655</v>
      </c>
      <c r="AB248">
        <v>10</v>
      </c>
      <c r="AC248">
        <v>10</v>
      </c>
      <c r="AE248" s="5">
        <f t="shared" si="62"/>
        <v>129</v>
      </c>
      <c r="AG248" s="56"/>
      <c r="AK248" s="2">
        <v>1000</v>
      </c>
      <c r="AL248" s="7">
        <f t="shared" si="55"/>
        <v>0.14099999999999999</v>
      </c>
      <c r="AM248" s="8">
        <f t="shared" si="56"/>
        <v>2.9000000000000026E-2</v>
      </c>
      <c r="AN248" s="56">
        <f t="shared" si="57"/>
        <v>0.04</v>
      </c>
      <c r="AO248" s="9">
        <f t="shared" si="58"/>
        <v>4.3000000000000003E-2</v>
      </c>
      <c r="AX248" s="147"/>
      <c r="BO248">
        <f t="shared" si="63"/>
        <v>0.45517249999999998</v>
      </c>
      <c r="BP248">
        <f t="shared" si="59"/>
        <v>0.88134500000000005</v>
      </c>
      <c r="BQ248">
        <f t="shared" si="64"/>
        <v>0.59723000000000004</v>
      </c>
      <c r="BR248">
        <f t="shared" si="65"/>
        <v>0.31311500000000003</v>
      </c>
      <c r="BS248" s="8"/>
      <c r="BT248" s="90"/>
      <c r="BU248" s="8"/>
      <c r="BV248" s="90"/>
      <c r="BW248" s="4">
        <f t="shared" si="60"/>
        <v>129</v>
      </c>
    </row>
    <row r="249" spans="1:75" s="27" customFormat="1" thickTop="1" thickBot="1" x14ac:dyDescent="0.3">
      <c r="A249" s="21">
        <v>129</v>
      </c>
      <c r="B249" s="22">
        <v>13</v>
      </c>
      <c r="C249" s="22">
        <v>9</v>
      </c>
      <c r="D249" s="23"/>
      <c r="E249" s="24">
        <v>72</v>
      </c>
      <c r="F249" s="24">
        <v>-63</v>
      </c>
      <c r="G249" s="25">
        <f t="shared" si="70"/>
        <v>135</v>
      </c>
      <c r="H249" s="23"/>
      <c r="I249" s="22">
        <v>125</v>
      </c>
      <c r="J249" s="3">
        <f t="shared" si="68"/>
        <v>152.29166666666669</v>
      </c>
      <c r="K249" s="26">
        <f t="shared" si="71"/>
        <v>222</v>
      </c>
      <c r="L249" s="23"/>
      <c r="N249" s="23"/>
      <c r="O249" s="28">
        <v>0.54</v>
      </c>
      <c r="P249" s="29">
        <v>5.2999999999999999E-2</v>
      </c>
      <c r="Q249" s="23"/>
      <c r="R249" s="30">
        <v>187</v>
      </c>
      <c r="S249" s="31">
        <v>28</v>
      </c>
      <c r="T249" s="32">
        <v>1800</v>
      </c>
      <c r="U249" s="23"/>
      <c r="V249" s="33">
        <v>1803</v>
      </c>
      <c r="W249" s="34">
        <f t="shared" si="69"/>
        <v>14.336886401960424</v>
      </c>
      <c r="X249" s="5"/>
      <c r="Y249" s="55">
        <v>567</v>
      </c>
      <c r="Z249" s="34">
        <f t="shared" si="61"/>
        <v>0.14752514507816999</v>
      </c>
      <c r="AB249" s="27">
        <v>15</v>
      </c>
      <c r="AC249" s="27">
        <v>15</v>
      </c>
      <c r="AD249" s="27" t="s">
        <v>59</v>
      </c>
      <c r="AE249" s="5">
        <f t="shared" si="62"/>
        <v>129</v>
      </c>
      <c r="AF249" s="28"/>
      <c r="AG249" s="55"/>
      <c r="AH249" s="3"/>
      <c r="AJ249" s="5"/>
      <c r="AK249" s="94">
        <v>1400</v>
      </c>
      <c r="AL249" s="7">
        <f t="shared" si="55"/>
        <v>0.26179999999999998</v>
      </c>
      <c r="AM249" s="8">
        <f t="shared" si="56"/>
        <v>0.27820000000000006</v>
      </c>
      <c r="AN249" s="56">
        <f>S249*AK249*0.000001/2</f>
        <v>1.9599999999999999E-2</v>
      </c>
      <c r="AO249" s="9">
        <f t="shared" si="58"/>
        <v>3.3399999999999999E-2</v>
      </c>
      <c r="AP249" s="5"/>
      <c r="AQ249" s="91"/>
      <c r="AR249" s="5"/>
      <c r="AS249" s="96"/>
      <c r="AT249" s="5"/>
      <c r="AU249" s="30"/>
      <c r="AV249" s="31"/>
      <c r="AW249" s="32"/>
      <c r="AX249" s="147"/>
      <c r="BN249" s="5"/>
      <c r="BO249">
        <f t="shared" si="63"/>
        <v>0.84340750000000009</v>
      </c>
      <c r="BP249">
        <f t="shared" si="59"/>
        <v>1.4086150000000002</v>
      </c>
      <c r="BQ249">
        <f t="shared" si="64"/>
        <v>1.0318100000000001</v>
      </c>
      <c r="BR249">
        <f t="shared" si="65"/>
        <v>0.65500500000000006</v>
      </c>
      <c r="BS249" s="28"/>
      <c r="BT249" s="91"/>
      <c r="BU249" s="28"/>
      <c r="BV249" s="91"/>
      <c r="BW249" s="4">
        <f t="shared" si="60"/>
        <v>129</v>
      </c>
    </row>
    <row r="250" spans="1:75" thickTop="1" thickBot="1" x14ac:dyDescent="0.3">
      <c r="A250" s="15">
        <v>130</v>
      </c>
      <c r="B250" s="16">
        <v>13</v>
      </c>
      <c r="C250" s="16">
        <v>10</v>
      </c>
      <c r="D250" s="17"/>
      <c r="E250" s="1">
        <v>75</v>
      </c>
      <c r="F250" s="1">
        <v>-67</v>
      </c>
      <c r="G250" s="18">
        <f t="shared" si="70"/>
        <v>142</v>
      </c>
      <c r="H250" s="17"/>
      <c r="I250" s="16">
        <v>71</v>
      </c>
      <c r="J250" s="3">
        <f>225-5.625*(B250-0.5-(I250-0.5*G250)/G250)</f>
        <v>154.6875</v>
      </c>
      <c r="K250" s="20">
        <f t="shared" si="71"/>
        <v>234</v>
      </c>
      <c r="L250" s="17"/>
      <c r="N250" s="17"/>
      <c r="O250" s="8">
        <v>0.32</v>
      </c>
      <c r="P250" s="9">
        <v>0.32</v>
      </c>
      <c r="Q250" s="17"/>
      <c r="R250" s="10">
        <v>322</v>
      </c>
      <c r="S250" s="11">
        <v>35</v>
      </c>
      <c r="T250" s="12">
        <v>3400</v>
      </c>
      <c r="U250" s="17"/>
      <c r="V250" s="7">
        <v>0</v>
      </c>
      <c r="W250" s="74" t="e">
        <f t="shared" si="69"/>
        <v>#DIV/0!</v>
      </c>
      <c r="Y250" s="56">
        <v>352</v>
      </c>
      <c r="Z250" s="13">
        <f t="shared" si="61"/>
        <v>0.15113209153223908</v>
      </c>
      <c r="AB250" s="72">
        <v>80</v>
      </c>
      <c r="AC250" s="72">
        <v>80</v>
      </c>
      <c r="AE250" s="5">
        <f t="shared" si="62"/>
        <v>130</v>
      </c>
      <c r="AF250" s="8">
        <f>(O250*AB250+O251*AB251+O252*AB252)/100</f>
        <v>0.27910000000000001</v>
      </c>
      <c r="AG250" s="56">
        <f>(P250*AC250+P251*AC251+P252*AC252)/100</f>
        <v>0.27850000000000003</v>
      </c>
      <c r="AH250" s="3">
        <f>225-5.625*($B250-0.5)</f>
        <v>154.6875</v>
      </c>
      <c r="AI250">
        <f>K250</f>
        <v>234</v>
      </c>
      <c r="AK250" s="2">
        <v>1000</v>
      </c>
      <c r="AL250" s="7">
        <f t="shared" si="55"/>
        <v>0.32200000000000001</v>
      </c>
      <c r="AM250" s="8">
        <f t="shared" si="56"/>
        <v>-2.0000000000000018E-3</v>
      </c>
      <c r="AN250" s="56">
        <f t="shared" ref="AN250:AN276" si="75">S250*AK250*0.000001</f>
        <v>3.4999999999999996E-2</v>
      </c>
      <c r="AO250" s="9">
        <f t="shared" si="58"/>
        <v>0.28500000000000003</v>
      </c>
      <c r="AQ250" s="90">
        <f>($AB250*AM250+$AB251*AM251+$AB252*AM252)/100</f>
        <v>-8.0399999999999985E-3</v>
      </c>
      <c r="AS250" s="95">
        <f>($AB250*AO250+$AB251*AO251+$AB252*AO252)/100</f>
        <v>0.24371000000000001</v>
      </c>
      <c r="AU250" s="10">
        <f>($AB250*R250+$AB251*R251+$AB252*R252)/100</f>
        <v>299.8</v>
      </c>
      <c r="AV250" s="11">
        <f>($AB250*S250+$AB251*S251+$AB252*S252)/100</f>
        <v>37.700000000000003</v>
      </c>
      <c r="AW250" s="12">
        <f>($AB250*T250+$AB251*T251+$AB252*T252)/100</f>
        <v>3310</v>
      </c>
      <c r="AX250" s="147">
        <f>($AB250*AK250+$AB251*AK251+$AB252*AK252)/100</f>
        <v>940</v>
      </c>
      <c r="BO250">
        <f t="shared" si="63"/>
        <v>0.97124499999999991</v>
      </c>
      <c r="BP250">
        <f t="shared" si="59"/>
        <v>1.9444900000000001</v>
      </c>
      <c r="BQ250">
        <f t="shared" si="64"/>
        <v>1.29566</v>
      </c>
      <c r="BR250">
        <f t="shared" si="65"/>
        <v>0.64683000000000002</v>
      </c>
      <c r="BS250" s="8">
        <f>($AB250*BO250+$AB251*BO251+$AB252*BO252)/100</f>
        <v>0.89810549999999989</v>
      </c>
      <c r="BT250" s="90">
        <f>($AB250*BP250+$AB251*BP251+$AB252*BP252)/100</f>
        <v>1.804251</v>
      </c>
      <c r="BU250" s="8">
        <f>($AB250*BQ250+$AB251*BQ251+$AB252*BQ252)/100</f>
        <v>1.2001539999999999</v>
      </c>
      <c r="BV250" s="90">
        <f>($AB250*BR250+$AB251*BR251+$AB252*BR252)/100</f>
        <v>0.59605699999999995</v>
      </c>
      <c r="BW250" s="4">
        <f t="shared" si="60"/>
        <v>130</v>
      </c>
    </row>
    <row r="251" spans="1:75" thickTop="1" thickBot="1" x14ac:dyDescent="0.3">
      <c r="A251" s="4">
        <v>130</v>
      </c>
      <c r="B251" s="93">
        <v>13</v>
      </c>
      <c r="C251" s="93">
        <v>10</v>
      </c>
      <c r="E251" s="1">
        <v>75</v>
      </c>
      <c r="F251" s="1">
        <v>-67</v>
      </c>
      <c r="G251" s="3">
        <f t="shared" si="70"/>
        <v>142</v>
      </c>
      <c r="I251" s="2">
        <v>10</v>
      </c>
      <c r="J251" s="3">
        <f>225-5.625*(B251-0.5-(I251-0.5*G251)/G251)</f>
        <v>152.27112676056339</v>
      </c>
      <c r="K251" s="6">
        <f t="shared" si="71"/>
        <v>234</v>
      </c>
      <c r="O251" s="8">
        <v>0.14000000000000001</v>
      </c>
      <c r="P251" s="9">
        <v>9.5000000000000001E-2</v>
      </c>
      <c r="R251" s="10">
        <v>330</v>
      </c>
      <c r="S251" s="11">
        <v>39</v>
      </c>
      <c r="T251" s="12">
        <v>3400</v>
      </c>
      <c r="V251" s="7">
        <v>0</v>
      </c>
      <c r="W251" s="74" t="e">
        <f t="shared" si="69"/>
        <v>#DIV/0!</v>
      </c>
      <c r="Y251" s="56">
        <v>562</v>
      </c>
      <c r="Z251" s="13">
        <f t="shared" si="61"/>
        <v>0.14757831626158699</v>
      </c>
      <c r="AB251">
        <v>10</v>
      </c>
      <c r="AC251">
        <v>10</v>
      </c>
      <c r="AE251" s="5">
        <f t="shared" si="62"/>
        <v>130</v>
      </c>
      <c r="AG251" s="56"/>
      <c r="AK251" s="2">
        <v>700</v>
      </c>
      <c r="AL251" s="7">
        <f t="shared" si="55"/>
        <v>0.23099999999999998</v>
      </c>
      <c r="AM251" s="8">
        <f t="shared" si="56"/>
        <v>-9.099999999999997E-2</v>
      </c>
      <c r="AN251" s="56">
        <f t="shared" si="75"/>
        <v>2.7299999999999998E-2</v>
      </c>
      <c r="AO251" s="9">
        <f t="shared" si="58"/>
        <v>6.770000000000001E-2</v>
      </c>
      <c r="AX251" s="147"/>
      <c r="BO251">
        <f t="shared" si="63"/>
        <v>0.90642500000000004</v>
      </c>
      <c r="BP251">
        <f t="shared" si="59"/>
        <v>1.9038499999999998</v>
      </c>
      <c r="BQ251">
        <f t="shared" si="64"/>
        <v>1.2389000000000001</v>
      </c>
      <c r="BR251">
        <f t="shared" si="65"/>
        <v>0.57394999999999996</v>
      </c>
      <c r="BS251" s="8"/>
      <c r="BT251" s="90"/>
      <c r="BU251" s="8"/>
      <c r="BV251" s="90"/>
      <c r="BW251" s="4">
        <f t="shared" si="60"/>
        <v>130</v>
      </c>
    </row>
    <row r="252" spans="1:75" s="27" customFormat="1" thickTop="1" thickBot="1" x14ac:dyDescent="0.3">
      <c r="A252" s="21">
        <v>130</v>
      </c>
      <c r="B252" s="22">
        <v>13</v>
      </c>
      <c r="C252" s="22">
        <v>10</v>
      </c>
      <c r="D252" s="23"/>
      <c r="E252" s="24">
        <v>75</v>
      </c>
      <c r="F252" s="24">
        <v>-67</v>
      </c>
      <c r="G252" s="25">
        <f t="shared" si="70"/>
        <v>142</v>
      </c>
      <c r="H252" s="23"/>
      <c r="I252" s="86">
        <v>132</v>
      </c>
      <c r="J252" s="3">
        <f>225-5.625*(B252-0.5-(I252-0.5*G252)/G252)</f>
        <v>157.10387323943661</v>
      </c>
      <c r="K252" s="26">
        <f t="shared" si="71"/>
        <v>234</v>
      </c>
      <c r="L252" s="23"/>
      <c r="N252" s="23"/>
      <c r="O252" s="28">
        <v>9.0999999999999998E-2</v>
      </c>
      <c r="P252" s="29">
        <v>0.13</v>
      </c>
      <c r="Q252" s="23"/>
      <c r="R252" s="30">
        <v>92</v>
      </c>
      <c r="S252" s="31">
        <v>58</v>
      </c>
      <c r="T252" s="32">
        <v>2500</v>
      </c>
      <c r="U252" s="23"/>
      <c r="V252" s="33">
        <v>0</v>
      </c>
      <c r="W252" s="34" t="e">
        <f t="shared" si="69"/>
        <v>#DIV/0!</v>
      </c>
      <c r="X252" s="5"/>
      <c r="Y252" s="55">
        <v>1437</v>
      </c>
      <c r="Z252" s="34">
        <f t="shared" si="61"/>
        <v>0.14386067643410391</v>
      </c>
      <c r="AB252" s="27">
        <v>10</v>
      </c>
      <c r="AC252" s="27">
        <v>10</v>
      </c>
      <c r="AE252" s="5">
        <f t="shared" si="62"/>
        <v>130</v>
      </c>
      <c r="AF252" s="28"/>
      <c r="AG252" s="55"/>
      <c r="AH252" s="3"/>
      <c r="AJ252" s="5"/>
      <c r="AK252" s="2">
        <v>700</v>
      </c>
      <c r="AL252" s="7">
        <f t="shared" si="55"/>
        <v>6.4399999999999999E-2</v>
      </c>
      <c r="AM252" s="8">
        <f t="shared" si="56"/>
        <v>2.6599999999999999E-2</v>
      </c>
      <c r="AN252" s="56">
        <f t="shared" si="75"/>
        <v>4.0599999999999997E-2</v>
      </c>
      <c r="AO252" s="9">
        <f t="shared" si="58"/>
        <v>8.9400000000000007E-2</v>
      </c>
      <c r="AP252" s="5"/>
      <c r="AQ252" s="91"/>
      <c r="AR252" s="5"/>
      <c r="AS252" s="96"/>
      <c r="AT252" s="5"/>
      <c r="AU252" s="30"/>
      <c r="AV252" s="31"/>
      <c r="AW252" s="32"/>
      <c r="AX252" s="147"/>
      <c r="BN252" s="5"/>
      <c r="BO252">
        <f t="shared" si="63"/>
        <v>0.30467</v>
      </c>
      <c r="BP252">
        <f t="shared" si="59"/>
        <v>0.58274000000000004</v>
      </c>
      <c r="BQ252">
        <f t="shared" si="64"/>
        <v>0.39736000000000005</v>
      </c>
      <c r="BR252">
        <f t="shared" si="65"/>
        <v>0.21198</v>
      </c>
      <c r="BS252" s="28"/>
      <c r="BT252" s="91"/>
      <c r="BU252" s="28"/>
      <c r="BV252" s="91"/>
      <c r="BW252" s="4">
        <f t="shared" si="60"/>
        <v>130</v>
      </c>
    </row>
    <row r="253" spans="1:75" thickTop="1" thickBot="1" x14ac:dyDescent="0.3">
      <c r="A253" s="15">
        <v>301</v>
      </c>
      <c r="B253" s="16">
        <v>29</v>
      </c>
      <c r="C253" s="16">
        <v>1</v>
      </c>
      <c r="D253" s="17"/>
      <c r="E253" s="1">
        <v>77</v>
      </c>
      <c r="F253" s="1">
        <v>-67</v>
      </c>
      <c r="G253" s="18">
        <f t="shared" si="70"/>
        <v>144</v>
      </c>
      <c r="H253" s="17"/>
      <c r="I253" s="16">
        <v>72</v>
      </c>
      <c r="J253" s="3">
        <f t="shared" si="68"/>
        <v>64.6875</v>
      </c>
      <c r="K253" s="20">
        <f t="shared" si="71"/>
        <v>126</v>
      </c>
      <c r="L253" s="17"/>
      <c r="N253" s="17"/>
      <c r="O253" s="8">
        <v>0.29899999999999999</v>
      </c>
      <c r="P253" s="9">
        <v>0.57599999999999996</v>
      </c>
      <c r="Q253" s="17"/>
      <c r="R253" s="10">
        <v>234</v>
      </c>
      <c r="S253" s="11">
        <v>296</v>
      </c>
      <c r="T253" s="12">
        <v>10000</v>
      </c>
      <c r="U253" s="17"/>
      <c r="V253" s="7">
        <v>0</v>
      </c>
      <c r="W253" s="74" t="e">
        <f t="shared" si="69"/>
        <v>#DIV/0!</v>
      </c>
      <c r="Y253" s="56">
        <v>4924</v>
      </c>
      <c r="Z253" s="13">
        <f t="shared" si="61"/>
        <v>0.14213756337155312</v>
      </c>
      <c r="AB253" s="72">
        <v>60</v>
      </c>
      <c r="AC253" s="72">
        <v>60</v>
      </c>
      <c r="AD253" t="s">
        <v>60</v>
      </c>
      <c r="AE253" s="5">
        <f t="shared" si="62"/>
        <v>301</v>
      </c>
      <c r="AF253" s="8">
        <f>(O253*AB253+O254*AB254+O255*AB255)/100</f>
        <v>0.40269999999999995</v>
      </c>
      <c r="AG253" s="56">
        <f>(P253*AC253+P254*AC254+P255*AC255)/100</f>
        <v>0.46029999999999993</v>
      </c>
      <c r="AH253" s="3">
        <f>225-5.625*($B253-0.5)</f>
        <v>64.6875</v>
      </c>
      <c r="AI253">
        <f>K253</f>
        <v>126</v>
      </c>
      <c r="AK253" s="2">
        <v>1300</v>
      </c>
      <c r="AL253" s="7">
        <f t="shared" si="55"/>
        <v>0.30419999999999997</v>
      </c>
      <c r="AM253" s="8">
        <f t="shared" si="56"/>
        <v>-5.1999999999999824E-3</v>
      </c>
      <c r="AN253" s="56">
        <f t="shared" si="75"/>
        <v>0.38479999999999998</v>
      </c>
      <c r="AO253" s="9">
        <f t="shared" si="58"/>
        <v>0.19119999999999998</v>
      </c>
      <c r="AQ253" s="90">
        <f>($AB253*AM253+$AB254*AM254+$AB255*AM255)/100</f>
        <v>9.5980000000000024E-2</v>
      </c>
      <c r="AS253" s="95">
        <f>($AB253*AO253+$AB254*AO254+$AB255*AO255)/100</f>
        <v>0.18542000000000003</v>
      </c>
      <c r="AU253" s="10">
        <f>($AB253*R253+$AB254*R254+$AB255*R255)/100</f>
        <v>264.60000000000002</v>
      </c>
      <c r="AV253" s="11">
        <f>($AB253*S253+$AB254*S254+$AB255*S255)/100</f>
        <v>221.6</v>
      </c>
      <c r="AW253" s="12">
        <f>($AB253*T253+$AB254*T254+$AB255*T255)/100</f>
        <v>7480</v>
      </c>
      <c r="AX253" s="147">
        <f>($AB253*AK253+$AB254*AK254+$AB255*AK255)/100</f>
        <v>1180</v>
      </c>
      <c r="BO253">
        <f>(31*1.5*10*6.5-AK253)*R253/(1000000)+O253</f>
        <v>0.70206499999999994</v>
      </c>
      <c r="BP253">
        <f t="shared" si="59"/>
        <v>1.40933</v>
      </c>
      <c r="BQ253">
        <f t="shared" si="64"/>
        <v>0.9378200000000001</v>
      </c>
      <c r="BR253">
        <f t="shared" si="65"/>
        <v>0.46631</v>
      </c>
      <c r="BS253" s="8">
        <f>($AB253*BO253+$AB254*BO254+$AB255*BO255)/100</f>
        <v>0.89573350000000007</v>
      </c>
      <c r="BT253" s="90">
        <f>($AB253*BP253+$AB254*BP254+$AB255*BP255)/100</f>
        <v>1.695487</v>
      </c>
      <c r="BU253" s="8">
        <f>($AB253*BQ253+$AB254*BQ254+$AB255*BQ255)/100</f>
        <v>1.162318</v>
      </c>
      <c r="BV253" s="90">
        <f>($AB253*BR253+$AB254*BR254+$AB255*BR255)/100</f>
        <v>0.62914900000000007</v>
      </c>
      <c r="BW253" s="4">
        <f t="shared" si="60"/>
        <v>301</v>
      </c>
    </row>
    <row r="254" spans="1:75" thickTop="1" thickBot="1" x14ac:dyDescent="0.3">
      <c r="A254" s="4">
        <v>301</v>
      </c>
      <c r="B254" s="93">
        <v>29</v>
      </c>
      <c r="C254" s="93">
        <v>1</v>
      </c>
      <c r="E254" s="1">
        <v>77</v>
      </c>
      <c r="F254" s="1">
        <v>-67</v>
      </c>
      <c r="G254" s="3">
        <f t="shared" si="70"/>
        <v>144</v>
      </c>
      <c r="I254" s="14">
        <v>10</v>
      </c>
      <c r="J254" s="3">
        <f t="shared" si="68"/>
        <v>67.109375</v>
      </c>
      <c r="K254" s="6">
        <f t="shared" si="71"/>
        <v>126</v>
      </c>
      <c r="O254" s="8">
        <v>0.25600000000000001</v>
      </c>
      <c r="P254" s="9">
        <v>0.34599999999999997</v>
      </c>
      <c r="R254" s="10">
        <v>300</v>
      </c>
      <c r="S254" s="11">
        <v>176</v>
      </c>
      <c r="T254" s="12">
        <v>7300</v>
      </c>
      <c r="V254" s="7">
        <v>0</v>
      </c>
      <c r="W254" s="74" t="e">
        <f t="shared" si="69"/>
        <v>#DIV/0!</v>
      </c>
      <c r="Y254" s="56">
        <v>3072</v>
      </c>
      <c r="Z254" s="13">
        <f t="shared" si="61"/>
        <v>0.1425676009243802</v>
      </c>
      <c r="AB254">
        <v>10</v>
      </c>
      <c r="AC254">
        <v>10</v>
      </c>
      <c r="AD254" t="s">
        <v>60</v>
      </c>
      <c r="AE254" s="5">
        <f t="shared" si="62"/>
        <v>301</v>
      </c>
      <c r="AG254" s="56"/>
      <c r="AK254" s="2">
        <v>1000</v>
      </c>
      <c r="AL254" s="7">
        <f t="shared" si="55"/>
        <v>0.3</v>
      </c>
      <c r="AM254" s="8">
        <f t="shared" si="56"/>
        <v>-4.3999999999999984E-2</v>
      </c>
      <c r="AN254" s="56">
        <f t="shared" si="75"/>
        <v>0.17599999999999999</v>
      </c>
      <c r="AO254" s="9">
        <f t="shared" si="58"/>
        <v>0.16999999999999998</v>
      </c>
      <c r="AX254" s="147"/>
      <c r="BO254">
        <f t="shared" si="63"/>
        <v>0.86275000000000002</v>
      </c>
      <c r="BP254">
        <f t="shared" si="59"/>
        <v>1.7695000000000001</v>
      </c>
      <c r="BQ254">
        <f t="shared" si="64"/>
        <v>1.165</v>
      </c>
      <c r="BR254">
        <f t="shared" si="65"/>
        <v>0.5605</v>
      </c>
      <c r="BS254" s="8"/>
      <c r="BT254" s="90"/>
      <c r="BU254" s="8"/>
      <c r="BV254" s="90"/>
      <c r="BW254" s="4">
        <f t="shared" si="60"/>
        <v>301</v>
      </c>
    </row>
    <row r="255" spans="1:75" s="27" customFormat="1" thickTop="1" thickBot="1" x14ac:dyDescent="0.3">
      <c r="A255" s="21">
        <v>301</v>
      </c>
      <c r="B255" s="22">
        <v>29</v>
      </c>
      <c r="C255" s="22">
        <v>1</v>
      </c>
      <c r="D255" s="23"/>
      <c r="E255" s="24">
        <v>77</v>
      </c>
      <c r="F255" s="24">
        <v>-67</v>
      </c>
      <c r="G255" s="25">
        <f t="shared" si="70"/>
        <v>144</v>
      </c>
      <c r="H255" s="23"/>
      <c r="I255" s="22">
        <v>131</v>
      </c>
      <c r="J255" s="3">
        <f t="shared" si="68"/>
        <v>62.3828125</v>
      </c>
      <c r="K255" s="26">
        <f t="shared" si="71"/>
        <v>126</v>
      </c>
      <c r="L255" s="23"/>
      <c r="N255" s="23"/>
      <c r="O255" s="28">
        <v>0.65900000000000003</v>
      </c>
      <c r="P255" s="29">
        <v>0.26700000000000002</v>
      </c>
      <c r="Q255" s="23"/>
      <c r="R255" s="30">
        <v>314</v>
      </c>
      <c r="S255" s="31">
        <v>88</v>
      </c>
      <c r="T255" s="32">
        <v>2500</v>
      </c>
      <c r="U255" s="23"/>
      <c r="V255" s="33">
        <v>1753</v>
      </c>
      <c r="W255" s="34">
        <f t="shared" si="69"/>
        <v>14.342402398488986</v>
      </c>
      <c r="X255" s="5"/>
      <c r="Y255" s="55">
        <v>2237</v>
      </c>
      <c r="Z255" s="34">
        <f t="shared" si="61"/>
        <v>0.14299310217162012</v>
      </c>
      <c r="AB255" s="27">
        <v>30</v>
      </c>
      <c r="AC255" s="27">
        <v>30</v>
      </c>
      <c r="AE255" s="5">
        <f t="shared" si="62"/>
        <v>301</v>
      </c>
      <c r="AF255" s="28"/>
      <c r="AG255" s="55"/>
      <c r="AH255" s="3"/>
      <c r="AJ255" s="5"/>
      <c r="AK255" s="2">
        <v>1000</v>
      </c>
      <c r="AL255" s="7">
        <f t="shared" si="55"/>
        <v>0.314</v>
      </c>
      <c r="AM255" s="8">
        <f t="shared" si="56"/>
        <v>0.34500000000000003</v>
      </c>
      <c r="AN255" s="56">
        <f t="shared" si="75"/>
        <v>8.7999999999999995E-2</v>
      </c>
      <c r="AO255" s="9">
        <f t="shared" si="58"/>
        <v>0.17900000000000002</v>
      </c>
      <c r="AP255" s="5"/>
      <c r="AQ255" s="91"/>
      <c r="AR255" s="5"/>
      <c r="AS255" s="96"/>
      <c r="AT255" s="5"/>
      <c r="AU255" s="30"/>
      <c r="AV255" s="31"/>
      <c r="AW255" s="32"/>
      <c r="AX255" s="147"/>
      <c r="BN255" s="5"/>
      <c r="BO255">
        <f t="shared" si="63"/>
        <v>1.294065</v>
      </c>
      <c r="BP255">
        <f t="shared" si="59"/>
        <v>2.2431299999999998</v>
      </c>
      <c r="BQ255">
        <f t="shared" si="64"/>
        <v>1.61042</v>
      </c>
      <c r="BR255">
        <f t="shared" si="65"/>
        <v>0.97771000000000008</v>
      </c>
      <c r="BS255" s="28"/>
      <c r="BT255" s="91"/>
      <c r="BU255" s="28"/>
      <c r="BV255" s="91"/>
      <c r="BW255" s="4">
        <f t="shared" si="60"/>
        <v>301</v>
      </c>
    </row>
    <row r="256" spans="1:75" thickTop="1" thickBot="1" x14ac:dyDescent="0.3">
      <c r="A256" s="15">
        <v>302</v>
      </c>
      <c r="B256" s="16">
        <v>29</v>
      </c>
      <c r="C256" s="16">
        <v>2</v>
      </c>
      <c r="D256" s="17"/>
      <c r="E256" s="1">
        <v>68</v>
      </c>
      <c r="F256" s="1">
        <v>-66</v>
      </c>
      <c r="G256" s="18">
        <f t="shared" si="70"/>
        <v>134</v>
      </c>
      <c r="H256" s="17"/>
      <c r="I256" s="16">
        <v>67</v>
      </c>
      <c r="J256" s="3">
        <f t="shared" ref="J256:J261" si="76">225-5.625*(B256-0.5-(I256-0.5*G256)/G256)</f>
        <v>64.6875</v>
      </c>
      <c r="K256" s="20">
        <f t="shared" si="71"/>
        <v>138</v>
      </c>
      <c r="L256" s="17"/>
      <c r="N256" s="17"/>
      <c r="O256" s="8">
        <v>0.12</v>
      </c>
      <c r="P256" s="9">
        <v>0.38600000000000001</v>
      </c>
      <c r="Q256" s="17"/>
      <c r="R256" s="10">
        <v>36</v>
      </c>
      <c r="S256" s="11">
        <v>156</v>
      </c>
      <c r="T256" s="12">
        <v>2500</v>
      </c>
      <c r="U256" s="17"/>
      <c r="V256" s="7">
        <v>0</v>
      </c>
      <c r="W256" s="74" t="e">
        <f t="shared" si="69"/>
        <v>#DIV/0!</v>
      </c>
      <c r="Y256" s="56">
        <v>2000</v>
      </c>
      <c r="Z256" s="13">
        <f t="shared" si="61"/>
        <v>0.14317821063276354</v>
      </c>
      <c r="AB256" s="72">
        <v>75</v>
      </c>
      <c r="AC256" s="72">
        <v>75</v>
      </c>
      <c r="AE256" s="5">
        <f t="shared" si="62"/>
        <v>302</v>
      </c>
      <c r="AF256" s="8">
        <f>(O256*AB256+O257*AB257+O258*AB258)/100</f>
        <v>0.18984999999999999</v>
      </c>
      <c r="AG256" s="56">
        <f>(P256*AC256+P257*AC257+P258*AC258)/100</f>
        <v>0.34199999999999997</v>
      </c>
      <c r="AH256" s="3">
        <f>225-5.625*($B256-0.5)</f>
        <v>64.6875</v>
      </c>
      <c r="AI256">
        <f>K256</f>
        <v>138</v>
      </c>
      <c r="AK256" s="2">
        <v>1200</v>
      </c>
      <c r="AL256" s="7">
        <f t="shared" si="55"/>
        <v>4.3199999999999995E-2</v>
      </c>
      <c r="AM256" s="8">
        <f t="shared" si="56"/>
        <v>7.6800000000000007E-2</v>
      </c>
      <c r="AN256" s="56">
        <f t="shared" si="75"/>
        <v>0.18720000000000001</v>
      </c>
      <c r="AO256" s="9">
        <f t="shared" si="58"/>
        <v>0.1988</v>
      </c>
      <c r="AQ256" s="90">
        <f>($AB256*AM256+$AB257*AM257+$AB258*AM258)/100</f>
        <v>0.11185</v>
      </c>
      <c r="AS256" s="95">
        <f>($AB256*AO256+$AB257*AO257+$AB258*AO258)/100</f>
        <v>0.19048000000000001</v>
      </c>
      <c r="AU256" s="10">
        <f>($AB256*R256+$AB257*R257+$AB258*R258)/100</f>
        <v>84</v>
      </c>
      <c r="AV256" s="11">
        <f>($AB256*S256+$AB257*S257+$AB258*S258)/100</f>
        <v>129.19999999999999</v>
      </c>
      <c r="AW256" s="12">
        <f>($AB256*T256+$AB257*T257+$AB258*T258)/100</f>
        <v>2205</v>
      </c>
      <c r="AX256" s="147">
        <f>($AB256*AK256+$AB257*AK257+$AB258*AK258)/100</f>
        <v>1120</v>
      </c>
      <c r="BO256">
        <f t="shared" si="63"/>
        <v>0.18561</v>
      </c>
      <c r="BP256">
        <f t="shared" si="59"/>
        <v>0.29442000000000002</v>
      </c>
      <c r="BQ256">
        <f t="shared" si="64"/>
        <v>0.22187999999999999</v>
      </c>
      <c r="BR256">
        <f t="shared" si="65"/>
        <v>0.14934</v>
      </c>
      <c r="BS256" s="8">
        <f>($AB256*BO256+$AB257*BO257+$AB258*BO258)/100</f>
        <v>0.36574000000000007</v>
      </c>
      <c r="BT256" s="90">
        <f>($AB256*BP256+$AB257*BP257+$AB258*BP258)/100</f>
        <v>0.61963000000000001</v>
      </c>
      <c r="BU256" s="8">
        <f>($AB256*BQ256+$AB257*BQ257+$AB258*BQ258)/100</f>
        <v>0.45036999999999999</v>
      </c>
      <c r="BV256" s="90">
        <f>($AB256*BR256+$AB257*BR257+$AB258*BR258)/100</f>
        <v>0.28111000000000003</v>
      </c>
      <c r="BW256" s="4">
        <f t="shared" si="60"/>
        <v>302</v>
      </c>
    </row>
    <row r="257" spans="1:75" thickTop="1" thickBot="1" x14ac:dyDescent="0.3">
      <c r="A257" s="4">
        <v>302</v>
      </c>
      <c r="B257" s="93">
        <v>29</v>
      </c>
      <c r="C257" s="93">
        <v>2</v>
      </c>
      <c r="E257" s="1">
        <v>68</v>
      </c>
      <c r="F257" s="1">
        <v>-66</v>
      </c>
      <c r="G257" s="3">
        <f t="shared" si="70"/>
        <v>134</v>
      </c>
      <c r="I257" s="2">
        <v>10</v>
      </c>
      <c r="J257" s="3">
        <f t="shared" si="76"/>
        <v>62.294776119402997</v>
      </c>
      <c r="K257" s="6">
        <f t="shared" si="71"/>
        <v>138</v>
      </c>
      <c r="O257" s="8">
        <v>0.45600000000000002</v>
      </c>
      <c r="P257" s="9">
        <v>0.223</v>
      </c>
      <c r="R257" s="10">
        <v>285</v>
      </c>
      <c r="S257" s="11">
        <v>44</v>
      </c>
      <c r="T257" s="12">
        <v>1500</v>
      </c>
      <c r="V257" s="7">
        <v>797</v>
      </c>
      <c r="W257" s="74">
        <f t="shared" si="69"/>
        <v>14.57899349896662</v>
      </c>
      <c r="Y257" s="56">
        <v>1075</v>
      </c>
      <c r="Z257" s="13">
        <f t="shared" si="61"/>
        <v>0.14467284665112365</v>
      </c>
      <c r="AB257">
        <v>20</v>
      </c>
      <c r="AC257">
        <v>20</v>
      </c>
      <c r="AE257" s="5">
        <f t="shared" si="62"/>
        <v>302</v>
      </c>
      <c r="AG257" s="56"/>
      <c r="AK257" s="2">
        <v>800</v>
      </c>
      <c r="AL257" s="7">
        <f t="shared" si="55"/>
        <v>0.22799999999999998</v>
      </c>
      <c r="AM257" s="8">
        <f t="shared" si="56"/>
        <v>0.22800000000000004</v>
      </c>
      <c r="AN257" s="56">
        <f t="shared" si="75"/>
        <v>3.5199999999999995E-2</v>
      </c>
      <c r="AO257" s="9">
        <f t="shared" si="58"/>
        <v>0.18780000000000002</v>
      </c>
      <c r="AX257" s="147"/>
      <c r="BO257">
        <f t="shared" si="63"/>
        <v>1.0894125000000001</v>
      </c>
      <c r="BP257">
        <f t="shared" si="59"/>
        <v>1.950825</v>
      </c>
      <c r="BQ257">
        <f t="shared" si="64"/>
        <v>1.3765499999999999</v>
      </c>
      <c r="BR257">
        <f t="shared" si="65"/>
        <v>0.80227500000000007</v>
      </c>
      <c r="BS257" s="8"/>
      <c r="BT257" s="90"/>
      <c r="BU257" s="8"/>
      <c r="BV257" s="90"/>
      <c r="BW257" s="4">
        <f t="shared" si="60"/>
        <v>302</v>
      </c>
    </row>
    <row r="258" spans="1:75" s="27" customFormat="1" thickTop="1" thickBot="1" x14ac:dyDescent="0.3">
      <c r="A258" s="21">
        <v>302</v>
      </c>
      <c r="B258" s="22">
        <v>29</v>
      </c>
      <c r="C258" s="22">
        <v>2</v>
      </c>
      <c r="D258" s="23"/>
      <c r="E258" s="24">
        <v>68</v>
      </c>
      <c r="F258" s="24">
        <v>-66</v>
      </c>
      <c r="G258" s="25">
        <f t="shared" si="70"/>
        <v>134</v>
      </c>
      <c r="H258" s="23"/>
      <c r="I258" s="86">
        <v>124</v>
      </c>
      <c r="J258" s="3">
        <f t="shared" si="76"/>
        <v>67.080223880597003</v>
      </c>
      <c r="K258" s="26">
        <f t="shared" si="71"/>
        <v>138</v>
      </c>
      <c r="L258" s="23"/>
      <c r="N258" s="23"/>
      <c r="O258" s="28">
        <v>0.17299999999999999</v>
      </c>
      <c r="P258" s="29">
        <v>0.158</v>
      </c>
      <c r="Q258" s="23"/>
      <c r="R258" s="30">
        <v>0</v>
      </c>
      <c r="S258" s="31">
        <v>68</v>
      </c>
      <c r="T258" s="32">
        <v>600</v>
      </c>
      <c r="U258" s="23"/>
      <c r="V258" s="33">
        <v>225</v>
      </c>
      <c r="W258" s="34">
        <f t="shared" si="69"/>
        <v>15.634719199411434</v>
      </c>
      <c r="X258" s="5"/>
      <c r="Y258" s="55">
        <v>813</v>
      </c>
      <c r="Z258" s="34">
        <f t="shared" si="61"/>
        <v>0.14570522399736738</v>
      </c>
      <c r="AB258" s="27">
        <v>5</v>
      </c>
      <c r="AC258" s="27">
        <v>5</v>
      </c>
      <c r="AE258" s="5">
        <f t="shared" si="62"/>
        <v>302</v>
      </c>
      <c r="AF258" s="28"/>
      <c r="AG258" s="55"/>
      <c r="AH258" s="3"/>
      <c r="AJ258" s="5"/>
      <c r="AK258" s="2">
        <v>1200</v>
      </c>
      <c r="AL258" s="7">
        <f t="shared" ref="AL258:AL276" si="77">AK258*R258*0.000001</f>
        <v>0</v>
      </c>
      <c r="AM258" s="8">
        <f t="shared" ref="AM258:AM276" si="78">O258-AL258</f>
        <v>0.17299999999999999</v>
      </c>
      <c r="AN258" s="56">
        <f t="shared" si="75"/>
        <v>8.1599999999999992E-2</v>
      </c>
      <c r="AO258" s="9">
        <f t="shared" ref="AO258:AO276" si="79">P258-AN258</f>
        <v>7.640000000000001E-2</v>
      </c>
      <c r="AP258" s="5"/>
      <c r="AQ258" s="91"/>
      <c r="AR258" s="5"/>
      <c r="AS258" s="96"/>
      <c r="AT258" s="5"/>
      <c r="AU258" s="30"/>
      <c r="AV258" s="31"/>
      <c r="AW258" s="32"/>
      <c r="AX258" s="147"/>
      <c r="BN258" s="5"/>
      <c r="BO258">
        <f t="shared" si="63"/>
        <v>0.17299999999999999</v>
      </c>
      <c r="BP258">
        <f t="shared" ref="BP258:BP321" si="80">(31*3*10*6.5-$AK258)*$R258/(1000000)+$O258</f>
        <v>0.17299999999999999</v>
      </c>
      <c r="BQ258">
        <f t="shared" si="64"/>
        <v>0.17299999999999999</v>
      </c>
      <c r="BR258">
        <f t="shared" si="65"/>
        <v>0.17299999999999999</v>
      </c>
      <c r="BS258" s="28"/>
      <c r="BT258" s="91"/>
      <c r="BU258" s="28"/>
      <c r="BV258" s="91"/>
      <c r="BW258" s="4">
        <f t="shared" ref="BW258:BW321" si="81">A258</f>
        <v>302</v>
      </c>
    </row>
    <row r="259" spans="1:75" thickTop="1" thickBot="1" x14ac:dyDescent="0.3">
      <c r="A259" s="15">
        <v>303</v>
      </c>
      <c r="B259" s="16">
        <v>29</v>
      </c>
      <c r="C259" s="16">
        <v>3</v>
      </c>
      <c r="D259" s="17"/>
      <c r="E259" s="1">
        <v>65</v>
      </c>
      <c r="F259" s="1">
        <v>-63</v>
      </c>
      <c r="G259" s="18">
        <f t="shared" si="70"/>
        <v>128</v>
      </c>
      <c r="H259" s="17"/>
      <c r="I259" s="16">
        <v>64</v>
      </c>
      <c r="J259" s="3">
        <f t="shared" si="76"/>
        <v>64.6875</v>
      </c>
      <c r="K259" s="20">
        <f t="shared" si="71"/>
        <v>150</v>
      </c>
      <c r="L259" s="17"/>
      <c r="N259" s="17"/>
      <c r="O259" s="76">
        <v>0.155</v>
      </c>
      <c r="P259" s="76">
        <v>0.14199999999999999</v>
      </c>
      <c r="Q259" s="17"/>
      <c r="R259" s="76">
        <v>50</v>
      </c>
      <c r="S259" s="76">
        <v>70</v>
      </c>
      <c r="T259" s="76">
        <v>700</v>
      </c>
      <c r="U259" s="17"/>
      <c r="V259" s="76">
        <v>188</v>
      </c>
      <c r="W259" s="74">
        <f t="shared" si="69"/>
        <v>15.911991998543179</v>
      </c>
      <c r="Y259" s="76">
        <v>631</v>
      </c>
      <c r="Z259" s="13">
        <f t="shared" ref="Z259:Z286" si="82">SQRT(0.1^2+0.1^2+1/Y259)</f>
        <v>0.14691761655391342</v>
      </c>
      <c r="AB259" s="72">
        <v>85</v>
      </c>
      <c r="AC259" s="72">
        <v>85</v>
      </c>
      <c r="AD259" t="s">
        <v>61</v>
      </c>
      <c r="AE259" s="5">
        <f t="shared" ref="AE259:AE322" si="83">A259</f>
        <v>303</v>
      </c>
      <c r="AF259" s="8">
        <f>(O259*AB259+O260*AB260+O261*AB261)/100</f>
        <v>0.15595000000000001</v>
      </c>
      <c r="AG259" s="56">
        <f>(P259*AC259+P260*AC260+P261*AC261)/100</f>
        <v>0.13669999999999999</v>
      </c>
      <c r="AH259" s="3">
        <f>225-5.625*($B259-0.5)</f>
        <v>64.6875</v>
      </c>
      <c r="AI259">
        <f>K259</f>
        <v>150</v>
      </c>
      <c r="AK259" s="2">
        <v>1000</v>
      </c>
      <c r="AL259" s="7">
        <f t="shared" si="77"/>
        <v>4.9999999999999996E-2</v>
      </c>
      <c r="AM259" s="8">
        <f t="shared" si="78"/>
        <v>0.10500000000000001</v>
      </c>
      <c r="AN259" s="56">
        <f t="shared" si="75"/>
        <v>6.9999999999999993E-2</v>
      </c>
      <c r="AO259" s="9">
        <f t="shared" si="79"/>
        <v>7.1999999999999995E-2</v>
      </c>
      <c r="AQ259" s="90">
        <f>($AB259*AM259+$AB260*AM260+$AB261*AM261)/100</f>
        <v>0.10745</v>
      </c>
      <c r="AS259" s="95">
        <f>($AB259*AO259+$AB260*AO260+$AB261*AO261)/100</f>
        <v>6.2199999999999991E-2</v>
      </c>
      <c r="AU259" s="10">
        <f>($AB259*R259+$AB260*R260+$AB261*R261)/100</f>
        <v>48.5</v>
      </c>
      <c r="AV259" s="11">
        <f>($AB259*S259+$AB260*S260+$AB261*S261)/100</f>
        <v>74.5</v>
      </c>
      <c r="AW259" s="12">
        <f>($AB259*T259+$AB260*T260+$AB261*T261)/100</f>
        <v>820</v>
      </c>
      <c r="AX259" s="147">
        <f>($AB259*AK259+$AB260*AK260+$AB261*AK261)/100</f>
        <v>1000</v>
      </c>
      <c r="BO259">
        <f t="shared" ref="BO259:BO322" si="84">(31*1.5*10*6.5-AK259)*R259/(1000000)+O259</f>
        <v>0.25612499999999999</v>
      </c>
      <c r="BP259">
        <f t="shared" si="80"/>
        <v>0.40725</v>
      </c>
      <c r="BQ259">
        <f t="shared" ref="BQ259:BQ322" si="85">(31*2*10*6.5-$AK259)*$R259/(1000000)+$O259</f>
        <v>0.30649999999999999</v>
      </c>
      <c r="BR259">
        <f t="shared" ref="BR259:BR322" si="86">(31*10*6.5-$AK259)*$R259/(1000000)+$O259</f>
        <v>0.20574999999999999</v>
      </c>
      <c r="BS259" s="8">
        <f>($AB259*BO259+$AB260*BO260+$AB261*BO261)/100</f>
        <v>0.25404125</v>
      </c>
      <c r="BT259" s="90">
        <f>($AB259*BP259+$AB260*BP260+$AB261*BP261)/100</f>
        <v>0.40063250000000006</v>
      </c>
      <c r="BU259" s="8">
        <f>($AB259*BQ259+$AB260*BQ260+$AB261*BQ261)/100</f>
        <v>0.30290499999999998</v>
      </c>
      <c r="BV259" s="90">
        <f>($AB259*BR259+$AB260*BR260+$AB261*BR261)/100</f>
        <v>0.20517749999999998</v>
      </c>
      <c r="BW259" s="4">
        <f t="shared" si="81"/>
        <v>303</v>
      </c>
    </row>
    <row r="260" spans="1:75" thickTop="1" thickBot="1" x14ac:dyDescent="0.3">
      <c r="A260" s="4">
        <v>303</v>
      </c>
      <c r="B260" s="93">
        <v>29</v>
      </c>
      <c r="C260" s="93">
        <v>3</v>
      </c>
      <c r="E260" s="1">
        <v>65</v>
      </c>
      <c r="F260" s="1">
        <v>-63</v>
      </c>
      <c r="G260" s="3">
        <f t="shared" si="70"/>
        <v>128</v>
      </c>
      <c r="I260" s="2">
        <v>10</v>
      </c>
      <c r="J260" s="3">
        <f t="shared" si="76"/>
        <v>62.314453125</v>
      </c>
      <c r="K260" s="6">
        <f t="shared" si="71"/>
        <v>150</v>
      </c>
      <c r="O260" s="8">
        <v>0.182</v>
      </c>
      <c r="P260" s="9">
        <v>0.11</v>
      </c>
      <c r="R260" s="10">
        <v>36</v>
      </c>
      <c r="S260" s="11">
        <v>176</v>
      </c>
      <c r="T260" s="12">
        <v>2500</v>
      </c>
      <c r="V260" s="7">
        <v>182</v>
      </c>
      <c r="W260" s="74">
        <f t="shared" si="69"/>
        <v>15.966998933583449</v>
      </c>
      <c r="Y260" s="56">
        <v>0</v>
      </c>
      <c r="Z260" s="13" t="e">
        <f t="shared" si="82"/>
        <v>#DIV/0!</v>
      </c>
      <c r="AB260">
        <v>5</v>
      </c>
      <c r="AC260">
        <v>5</v>
      </c>
      <c r="AE260" s="5">
        <f t="shared" si="83"/>
        <v>303</v>
      </c>
      <c r="AG260" s="56"/>
      <c r="AK260" s="2">
        <v>1000</v>
      </c>
      <c r="AL260" s="7">
        <f t="shared" si="77"/>
        <v>3.5999999999999997E-2</v>
      </c>
      <c r="AM260" s="8">
        <f t="shared" si="78"/>
        <v>0.14599999999999999</v>
      </c>
      <c r="AN260" s="56">
        <f t="shared" si="75"/>
        <v>0.17599999999999999</v>
      </c>
      <c r="AO260" s="9">
        <f t="shared" si="79"/>
        <v>-6.5999999999999989E-2</v>
      </c>
      <c r="AX260" s="147"/>
      <c r="BO260">
        <f t="shared" si="84"/>
        <v>0.25480999999999998</v>
      </c>
      <c r="BP260">
        <f t="shared" si="80"/>
        <v>0.36362</v>
      </c>
      <c r="BQ260">
        <f t="shared" si="85"/>
        <v>0.29108000000000001</v>
      </c>
      <c r="BR260">
        <f t="shared" si="86"/>
        <v>0.21854000000000001</v>
      </c>
      <c r="BS260" s="8"/>
      <c r="BT260" s="90"/>
      <c r="BU260" s="8"/>
      <c r="BV260" s="90"/>
      <c r="BW260" s="4">
        <f t="shared" si="81"/>
        <v>303</v>
      </c>
    </row>
    <row r="261" spans="1:75" s="27" customFormat="1" thickTop="1" thickBot="1" x14ac:dyDescent="0.3">
      <c r="A261" s="21">
        <v>303</v>
      </c>
      <c r="B261" s="22">
        <v>29</v>
      </c>
      <c r="C261" s="22">
        <v>3</v>
      </c>
      <c r="D261" s="23"/>
      <c r="E261" s="24">
        <v>65</v>
      </c>
      <c r="F261" s="24">
        <v>-63</v>
      </c>
      <c r="G261" s="25">
        <f t="shared" si="70"/>
        <v>128</v>
      </c>
      <c r="H261" s="23"/>
      <c r="I261" s="86">
        <v>118</v>
      </c>
      <c r="J261" s="3">
        <f t="shared" si="76"/>
        <v>67.060546875</v>
      </c>
      <c r="K261" s="26">
        <f t="shared" si="71"/>
        <v>150</v>
      </c>
      <c r="L261" s="23"/>
      <c r="N261" s="23"/>
      <c r="O261" s="28">
        <v>0.151</v>
      </c>
      <c r="P261" s="29">
        <v>0.105</v>
      </c>
      <c r="Q261" s="23"/>
      <c r="R261" s="30">
        <v>42</v>
      </c>
      <c r="S261" s="31">
        <v>62</v>
      </c>
      <c r="T261" s="32">
        <v>1000</v>
      </c>
      <c r="U261" s="23"/>
      <c r="V261" s="33">
        <v>217</v>
      </c>
      <c r="W261" s="34">
        <f t="shared" si="69"/>
        <v>15.687031245865352</v>
      </c>
      <c r="X261" s="5"/>
      <c r="Y261" s="55">
        <v>489</v>
      </c>
      <c r="Z261" s="34">
        <f t="shared" si="82"/>
        <v>0.14847555278580757</v>
      </c>
      <c r="AB261" s="27">
        <v>10</v>
      </c>
      <c r="AC261" s="27">
        <v>10</v>
      </c>
      <c r="AE261" s="5">
        <f t="shared" si="83"/>
        <v>303</v>
      </c>
      <c r="AF261" s="28"/>
      <c r="AG261" s="55"/>
      <c r="AH261" s="3"/>
      <c r="AJ261" s="5"/>
      <c r="AK261" s="2">
        <v>1000</v>
      </c>
      <c r="AL261" s="7">
        <f t="shared" si="77"/>
        <v>4.1999999999999996E-2</v>
      </c>
      <c r="AM261" s="8">
        <f t="shared" si="78"/>
        <v>0.109</v>
      </c>
      <c r="AN261" s="56">
        <f t="shared" si="75"/>
        <v>6.2E-2</v>
      </c>
      <c r="AO261" s="9">
        <f t="shared" si="79"/>
        <v>4.2999999999999997E-2</v>
      </c>
      <c r="AP261" s="5"/>
      <c r="AQ261" s="91"/>
      <c r="AR261" s="5"/>
      <c r="AS261" s="96"/>
      <c r="AT261" s="5"/>
      <c r="AU261" s="30"/>
      <c r="AV261" s="31"/>
      <c r="AW261" s="32"/>
      <c r="AX261" s="147"/>
      <c r="BN261" s="5"/>
      <c r="BO261">
        <f t="shared" si="84"/>
        <v>0.23594500000000002</v>
      </c>
      <c r="BP261">
        <f t="shared" si="80"/>
        <v>0.36288999999999999</v>
      </c>
      <c r="BQ261">
        <f t="shared" si="85"/>
        <v>0.27826000000000001</v>
      </c>
      <c r="BR261">
        <f t="shared" si="86"/>
        <v>0.19363</v>
      </c>
      <c r="BS261" s="28"/>
      <c r="BT261" s="91"/>
      <c r="BU261" s="28"/>
      <c r="BV261" s="91"/>
      <c r="BW261" s="4">
        <f t="shared" si="81"/>
        <v>303</v>
      </c>
    </row>
    <row r="262" spans="1:75" thickTop="1" thickBot="1" x14ac:dyDescent="0.3">
      <c r="A262" s="15">
        <v>306</v>
      </c>
      <c r="B262" s="16">
        <v>29</v>
      </c>
      <c r="C262" s="16">
        <v>6</v>
      </c>
      <c r="D262" s="17"/>
      <c r="E262" s="1">
        <v>64</v>
      </c>
      <c r="F262" s="1">
        <v>-59</v>
      </c>
      <c r="G262" s="18">
        <f t="shared" si="70"/>
        <v>123</v>
      </c>
      <c r="H262" s="17"/>
      <c r="I262" s="16">
        <v>61</v>
      </c>
      <c r="J262" s="3">
        <f t="shared" si="68"/>
        <v>64.710365853658544</v>
      </c>
      <c r="K262" s="20">
        <f t="shared" si="71"/>
        <v>186</v>
      </c>
      <c r="L262" s="17"/>
      <c r="N262" s="17"/>
      <c r="O262" s="8">
        <v>0.188</v>
      </c>
      <c r="P262" s="9">
        <v>5.1999999999999998E-2</v>
      </c>
      <c r="Q262" s="17"/>
      <c r="R262" s="10">
        <v>98</v>
      </c>
      <c r="S262" s="11">
        <v>29</v>
      </c>
      <c r="T262" s="12">
        <v>1400</v>
      </c>
      <c r="U262" s="17"/>
      <c r="V262" s="7">
        <v>420</v>
      </c>
      <c r="W262" s="74">
        <f t="shared" si="69"/>
        <v>14.960264830861913</v>
      </c>
      <c r="Y262" s="56">
        <v>371</v>
      </c>
      <c r="Z262" s="13">
        <f t="shared" si="82"/>
        <v>0.15064998436693386</v>
      </c>
      <c r="AB262" s="72">
        <v>80</v>
      </c>
      <c r="AC262" s="72">
        <v>80</v>
      </c>
      <c r="AE262" s="5">
        <f t="shared" si="83"/>
        <v>306</v>
      </c>
      <c r="AF262" s="8">
        <f>(O262*AB262+O263*AB263+O264*AB264)/100</f>
        <v>0.19539999999999999</v>
      </c>
      <c r="AG262" s="56">
        <f>(P262*AC262+P263*AC263+P264*AC264)/100</f>
        <v>5.510000000000001E-2</v>
      </c>
      <c r="AH262" s="3">
        <f>225-5.625*($B262-0.5)</f>
        <v>64.6875</v>
      </c>
      <c r="AI262">
        <f>K262</f>
        <v>186</v>
      </c>
      <c r="AK262" s="2">
        <v>800</v>
      </c>
      <c r="AL262" s="7">
        <f t="shared" si="77"/>
        <v>7.8399999999999997E-2</v>
      </c>
      <c r="AM262" s="8">
        <f t="shared" si="78"/>
        <v>0.1096</v>
      </c>
      <c r="AN262" s="56">
        <f t="shared" si="75"/>
        <v>2.3199999999999998E-2</v>
      </c>
      <c r="AO262" s="9">
        <f t="shared" si="79"/>
        <v>2.8799999999999999E-2</v>
      </c>
      <c r="AQ262" s="90">
        <f>($AB262*AM262+$AB263*AM263+$AB264*AM264)/100</f>
        <v>0.11307</v>
      </c>
      <c r="AS262" s="95">
        <f>($AB262*AO262+$AB263*AO263+$AB264*AO264)/100</f>
        <v>3.1959999999999995E-2</v>
      </c>
      <c r="AU262" s="10">
        <f>($AB262*R262+$AB263*R263+$AB264*R264)/100</f>
        <v>103.1</v>
      </c>
      <c r="AV262" s="11">
        <f>($AB262*S262+$AB263*S263+$AB264*S264)/100</f>
        <v>28.6</v>
      </c>
      <c r="AW262" s="12">
        <f>($AB262*T262+$AB263*T263+$AB264*T264)/100</f>
        <v>1345</v>
      </c>
      <c r="AX262" s="147">
        <f>($AB262*AK262+$AB263*AK263+$AB264*AK264)/100</f>
        <v>800</v>
      </c>
      <c r="BO262">
        <f t="shared" si="84"/>
        <v>0.40580499999999997</v>
      </c>
      <c r="BP262">
        <f t="shared" si="80"/>
        <v>0.70201000000000002</v>
      </c>
      <c r="BQ262">
        <f t="shared" si="85"/>
        <v>0.50453999999999999</v>
      </c>
      <c r="BR262">
        <f t="shared" si="86"/>
        <v>0.30707000000000001</v>
      </c>
      <c r="BS262" s="8">
        <f>($AB262*BO262+$AB263*BO263+$AB264*BO264)/100</f>
        <v>0.42468974999999992</v>
      </c>
      <c r="BT262" s="90">
        <f>($AB262*BP262+$AB263*BP263+$AB264*BP264)/100</f>
        <v>0.73630949999999995</v>
      </c>
      <c r="BU262" s="8">
        <f>($AB262*BQ262+$AB263*BQ263+$AB264*BQ264)/100</f>
        <v>0.52856300000000001</v>
      </c>
      <c r="BV262" s="90">
        <f>($AB262*BR262+$AB263*BR263+$AB264*BR264)/100</f>
        <v>0.32081649999999995</v>
      </c>
      <c r="BW262" s="4">
        <f t="shared" si="81"/>
        <v>306</v>
      </c>
    </row>
    <row r="263" spans="1:75" thickTop="1" thickBot="1" x14ac:dyDescent="0.3">
      <c r="A263" s="4">
        <v>306</v>
      </c>
      <c r="B263" s="93">
        <v>29</v>
      </c>
      <c r="C263" s="93">
        <v>6</v>
      </c>
      <c r="E263" s="1">
        <v>64</v>
      </c>
      <c r="F263" s="1">
        <v>-59</v>
      </c>
      <c r="G263" s="3">
        <f t="shared" si="70"/>
        <v>123</v>
      </c>
      <c r="I263" s="14">
        <v>10</v>
      </c>
      <c r="J263" s="3">
        <f t="shared" si="68"/>
        <v>67.042682926829258</v>
      </c>
      <c r="K263" s="6">
        <f t="shared" si="71"/>
        <v>186</v>
      </c>
      <c r="O263" s="8">
        <v>0.221</v>
      </c>
      <c r="P263" s="9">
        <v>4.8000000000000001E-2</v>
      </c>
      <c r="R263" s="10">
        <v>131</v>
      </c>
      <c r="S263" s="11">
        <v>14</v>
      </c>
      <c r="T263" s="12">
        <v>1200</v>
      </c>
      <c r="V263" s="7">
        <v>498</v>
      </c>
      <c r="W263" s="74">
        <f t="shared" si="69"/>
        <v>14.835104357069437</v>
      </c>
      <c r="Y263" s="56">
        <v>300</v>
      </c>
      <c r="Z263" s="13">
        <f t="shared" si="82"/>
        <v>0.15275252316519469</v>
      </c>
      <c r="AB263">
        <v>10</v>
      </c>
      <c r="AC263">
        <v>10</v>
      </c>
      <c r="AE263" s="5">
        <f t="shared" si="83"/>
        <v>306</v>
      </c>
      <c r="AG263" s="56"/>
      <c r="AK263" s="2">
        <v>700</v>
      </c>
      <c r="AL263" s="7">
        <f t="shared" si="77"/>
        <v>9.169999999999999E-2</v>
      </c>
      <c r="AM263" s="8">
        <f t="shared" si="78"/>
        <v>0.12930000000000003</v>
      </c>
      <c r="AN263" s="56">
        <f t="shared" si="75"/>
        <v>9.7999999999999997E-3</v>
      </c>
      <c r="AO263" s="9">
        <f t="shared" si="79"/>
        <v>3.8199999999999998E-2</v>
      </c>
      <c r="AX263" s="147"/>
      <c r="BO263">
        <f t="shared" si="84"/>
        <v>0.52524749999999998</v>
      </c>
      <c r="BP263">
        <f t="shared" si="80"/>
        <v>0.92119499999999999</v>
      </c>
      <c r="BQ263">
        <f t="shared" si="85"/>
        <v>0.65722999999999998</v>
      </c>
      <c r="BR263">
        <f t="shared" si="86"/>
        <v>0.39326499999999998</v>
      </c>
      <c r="BS263" s="8"/>
      <c r="BT263" s="90"/>
      <c r="BU263" s="8"/>
      <c r="BV263" s="90"/>
      <c r="BW263" s="4">
        <f t="shared" si="81"/>
        <v>306</v>
      </c>
    </row>
    <row r="264" spans="1:75" s="27" customFormat="1" thickTop="1" thickBot="1" x14ac:dyDescent="0.3">
      <c r="A264" s="21">
        <v>306</v>
      </c>
      <c r="B264" s="22">
        <v>29</v>
      </c>
      <c r="C264" s="22">
        <v>6</v>
      </c>
      <c r="D264" s="23"/>
      <c r="E264" s="24">
        <v>64</v>
      </c>
      <c r="F264" s="24">
        <v>-59</v>
      </c>
      <c r="G264" s="25">
        <f t="shared" si="70"/>
        <v>123</v>
      </c>
      <c r="H264" s="23"/>
      <c r="I264" s="22">
        <v>113</v>
      </c>
      <c r="J264" s="3">
        <f t="shared" si="68"/>
        <v>62.332317073170742</v>
      </c>
      <c r="K264" s="26">
        <f t="shared" si="71"/>
        <v>186</v>
      </c>
      <c r="L264" s="23"/>
      <c r="N264" s="23"/>
      <c r="O264" s="28">
        <v>0.22900000000000001</v>
      </c>
      <c r="P264" s="24">
        <v>8.6999999999999994E-2</v>
      </c>
      <c r="Q264" s="23"/>
      <c r="R264" s="30">
        <v>116</v>
      </c>
      <c r="S264" s="31">
        <v>40</v>
      </c>
      <c r="T264" s="32">
        <v>1050</v>
      </c>
      <c r="U264" s="23"/>
      <c r="V264" s="33">
        <v>572</v>
      </c>
      <c r="W264" s="34">
        <f t="shared" si="69"/>
        <v>14.74728847898886</v>
      </c>
      <c r="X264" s="5"/>
      <c r="Y264" s="55">
        <v>614</v>
      </c>
      <c r="Z264" s="34">
        <f t="shared" si="82"/>
        <v>0.14706687082791287</v>
      </c>
      <c r="AB264" s="27">
        <v>10</v>
      </c>
      <c r="AC264" s="27">
        <v>10</v>
      </c>
      <c r="AE264" s="5">
        <f t="shared" si="83"/>
        <v>306</v>
      </c>
      <c r="AF264" s="28"/>
      <c r="AG264" s="55"/>
      <c r="AH264" s="3"/>
      <c r="AJ264" s="5"/>
      <c r="AK264" s="2">
        <v>900</v>
      </c>
      <c r="AL264" s="7">
        <f t="shared" si="77"/>
        <v>0.10439999999999999</v>
      </c>
      <c r="AM264" s="8">
        <f t="shared" si="78"/>
        <v>0.12460000000000002</v>
      </c>
      <c r="AN264" s="56">
        <f t="shared" si="75"/>
        <v>3.5999999999999997E-2</v>
      </c>
      <c r="AO264" s="9">
        <f t="shared" si="79"/>
        <v>5.0999999999999997E-2</v>
      </c>
      <c r="AP264" s="5"/>
      <c r="AQ264" s="91"/>
      <c r="AR264" s="5"/>
      <c r="AS264" s="96"/>
      <c r="AT264" s="5"/>
      <c r="AU264" s="30"/>
      <c r="AV264" s="31"/>
      <c r="AW264" s="32"/>
      <c r="AX264" s="147"/>
      <c r="BN264" s="5"/>
      <c r="BO264">
        <f t="shared" si="84"/>
        <v>0.47521000000000002</v>
      </c>
      <c r="BP264">
        <f t="shared" si="80"/>
        <v>0.82582</v>
      </c>
      <c r="BQ264">
        <f t="shared" si="85"/>
        <v>0.59208000000000005</v>
      </c>
      <c r="BR264">
        <f t="shared" si="86"/>
        <v>0.35833999999999999</v>
      </c>
      <c r="BS264" s="28"/>
      <c r="BT264" s="91"/>
      <c r="BU264" s="28"/>
      <c r="BV264" s="91"/>
      <c r="BW264" s="4">
        <f t="shared" si="81"/>
        <v>306</v>
      </c>
    </row>
    <row r="265" spans="1:75" thickTop="1" thickBot="1" x14ac:dyDescent="0.3">
      <c r="A265" s="15">
        <v>307</v>
      </c>
      <c r="B265" s="16">
        <v>29</v>
      </c>
      <c r="C265" s="16">
        <v>7</v>
      </c>
      <c r="D265" s="17"/>
      <c r="E265" s="1">
        <v>66</v>
      </c>
      <c r="F265" s="1">
        <v>-58</v>
      </c>
      <c r="G265" s="18">
        <f t="shared" si="70"/>
        <v>124</v>
      </c>
      <c r="H265" s="17"/>
      <c r="I265" s="16">
        <v>60</v>
      </c>
      <c r="J265" s="3">
        <f t="shared" si="68"/>
        <v>64.778225806451616</v>
      </c>
      <c r="K265" s="20">
        <f t="shared" si="71"/>
        <v>198</v>
      </c>
      <c r="L265" s="17"/>
      <c r="N265" s="17"/>
      <c r="O265" s="8">
        <v>0.17899999999999999</v>
      </c>
      <c r="P265" s="9">
        <v>6.4000000000000001E-2</v>
      </c>
      <c r="Q265" s="17"/>
      <c r="R265" s="10">
        <v>111</v>
      </c>
      <c r="S265" s="11">
        <v>28</v>
      </c>
      <c r="T265" s="12">
        <v>1300</v>
      </c>
      <c r="U265" s="17"/>
      <c r="V265" s="7">
        <v>464</v>
      </c>
      <c r="W265" s="74">
        <f t="shared" si="69"/>
        <v>14.884613671101143</v>
      </c>
      <c r="Y265" s="56">
        <v>503</v>
      </c>
      <c r="Z265" s="13">
        <f t="shared" si="82"/>
        <v>0.14828375356247409</v>
      </c>
      <c r="AB265" s="72">
        <v>80</v>
      </c>
      <c r="AC265" s="72">
        <v>80</v>
      </c>
      <c r="AE265" s="5">
        <f t="shared" si="83"/>
        <v>307</v>
      </c>
      <c r="AF265" s="8">
        <f>(O265*AB265+O266*AB266+O267*AB267)/100</f>
        <v>0.185</v>
      </c>
      <c r="AG265" s="56">
        <f>(P265*AC265+P266*AC266+P267*AC267)/100</f>
        <v>6.7199999999999996E-2</v>
      </c>
      <c r="AH265" s="3">
        <f>225-5.625*($B265-0.5)</f>
        <v>64.6875</v>
      </c>
      <c r="AI265">
        <f>K265</f>
        <v>198</v>
      </c>
      <c r="AK265" s="2">
        <v>700</v>
      </c>
      <c r="AL265" s="7">
        <f t="shared" si="77"/>
        <v>7.7699999999999991E-2</v>
      </c>
      <c r="AM265" s="8">
        <f t="shared" si="78"/>
        <v>0.1013</v>
      </c>
      <c r="AN265" s="56">
        <f t="shared" si="75"/>
        <v>1.9599999999999999E-2</v>
      </c>
      <c r="AO265" s="9">
        <f t="shared" si="79"/>
        <v>4.4400000000000002E-2</v>
      </c>
      <c r="AQ265" s="90">
        <f>($AB265*AM265+$AB266*AM266+$AB267*AM267)/100</f>
        <v>0.10737000000000001</v>
      </c>
      <c r="AS265" s="95">
        <f>($AB265*AO265+$AB266*AO266+$AB267*AO267)/100</f>
        <v>4.7460000000000002E-2</v>
      </c>
      <c r="AU265" s="10">
        <f>($AB265*R265+$AB266*R266+$AB267*R267)/100</f>
        <v>110.9</v>
      </c>
      <c r="AV265" s="11">
        <f>($AB265*S265+$AB266*S266+$AB267*S267)/100</f>
        <v>28.2</v>
      </c>
      <c r="AW265" s="12">
        <f>($AB265*T265+$AB266*T266+$AB267*T267)/100</f>
        <v>1300</v>
      </c>
      <c r="AX265" s="147">
        <f>($AB265*AK265+$AB266*AK266+$AB267*AK267)/100</f>
        <v>700</v>
      </c>
      <c r="BO265">
        <f t="shared" si="84"/>
        <v>0.43679750000000001</v>
      </c>
      <c r="BP265">
        <f t="shared" si="80"/>
        <v>0.77229499999999995</v>
      </c>
      <c r="BQ265">
        <f t="shared" si="85"/>
        <v>0.54862999999999995</v>
      </c>
      <c r="BR265">
        <f t="shared" si="86"/>
        <v>0.324965</v>
      </c>
      <c r="BS265" s="8">
        <f>($AB265*BO265+$AB266*BO266+$AB267*BO267)/100</f>
        <v>0.44256525000000002</v>
      </c>
      <c r="BT265" s="90">
        <f>($AB265*BP265+$AB266*BP266+$AB267*BP267)/100</f>
        <v>0.77776049999999985</v>
      </c>
      <c r="BU265" s="8">
        <f>($AB265*BQ265+$AB266*BQ266+$AB267*BQ267)/100</f>
        <v>0.55429699999999993</v>
      </c>
      <c r="BV265" s="90">
        <f>($AB265*BR265+$AB266*BR266+$AB267*BR267)/100</f>
        <v>0.33083349999999995</v>
      </c>
      <c r="BW265" s="4">
        <f t="shared" si="81"/>
        <v>307</v>
      </c>
    </row>
    <row r="266" spans="1:75" thickTop="1" thickBot="1" x14ac:dyDescent="0.3">
      <c r="A266" s="4">
        <v>307</v>
      </c>
      <c r="B266" s="93">
        <v>29</v>
      </c>
      <c r="C266" s="93">
        <v>7</v>
      </c>
      <c r="E266" s="1">
        <v>66</v>
      </c>
      <c r="F266" s="1">
        <v>-58</v>
      </c>
      <c r="G266" s="3">
        <f t="shared" si="70"/>
        <v>124</v>
      </c>
      <c r="I266" s="14">
        <v>10</v>
      </c>
      <c r="J266" s="3">
        <f t="shared" si="68"/>
        <v>67.046370967741922</v>
      </c>
      <c r="K266" s="6">
        <f t="shared" si="71"/>
        <v>198</v>
      </c>
      <c r="O266" s="8">
        <v>0.23599999999999999</v>
      </c>
      <c r="P266" s="9">
        <v>4.2000000000000003E-2</v>
      </c>
      <c r="R266" s="10">
        <v>95</v>
      </c>
      <c r="S266" s="11">
        <v>26</v>
      </c>
      <c r="T266" s="12">
        <v>1400</v>
      </c>
      <c r="V266" s="7">
        <v>662</v>
      </c>
      <c r="W266" s="74">
        <f t="shared" si="69"/>
        <v>14.666483565642752</v>
      </c>
      <c r="Y266" s="56">
        <v>386</v>
      </c>
      <c r="Z266" s="13">
        <f t="shared" si="82"/>
        <v>0.15030194135515859</v>
      </c>
      <c r="AB266">
        <v>10</v>
      </c>
      <c r="AC266">
        <v>10</v>
      </c>
      <c r="AE266" s="5">
        <f t="shared" si="83"/>
        <v>307</v>
      </c>
      <c r="AG266" s="56"/>
      <c r="AK266" s="2">
        <v>700</v>
      </c>
      <c r="AL266" s="7">
        <f t="shared" si="77"/>
        <v>6.6500000000000004E-2</v>
      </c>
      <c r="AM266" s="8">
        <f t="shared" si="78"/>
        <v>0.16949999999999998</v>
      </c>
      <c r="AN266" s="56">
        <f t="shared" si="75"/>
        <v>1.8200000000000001E-2</v>
      </c>
      <c r="AO266" s="9">
        <f t="shared" si="79"/>
        <v>2.3800000000000002E-2</v>
      </c>
      <c r="AX266" s="147"/>
      <c r="BO266">
        <f t="shared" si="84"/>
        <v>0.45663749999999997</v>
      </c>
      <c r="BP266">
        <f t="shared" si="80"/>
        <v>0.74377499999999996</v>
      </c>
      <c r="BQ266">
        <f t="shared" si="85"/>
        <v>0.55235000000000001</v>
      </c>
      <c r="BR266">
        <f t="shared" si="86"/>
        <v>0.360925</v>
      </c>
      <c r="BS266" s="8"/>
      <c r="BT266" s="90"/>
      <c r="BU266" s="8"/>
      <c r="BV266" s="90"/>
      <c r="BW266" s="4">
        <f t="shared" si="81"/>
        <v>307</v>
      </c>
    </row>
    <row r="267" spans="1:75" s="27" customFormat="1" thickTop="1" thickBot="1" x14ac:dyDescent="0.3">
      <c r="A267" s="21">
        <v>307</v>
      </c>
      <c r="B267" s="22">
        <v>29</v>
      </c>
      <c r="C267" s="22">
        <v>7</v>
      </c>
      <c r="D267" s="23"/>
      <c r="E267" s="24">
        <v>66</v>
      </c>
      <c r="F267" s="24">
        <v>-58</v>
      </c>
      <c r="G267" s="25">
        <f t="shared" si="70"/>
        <v>124</v>
      </c>
      <c r="H267" s="23"/>
      <c r="I267" s="22">
        <v>114</v>
      </c>
      <c r="J267" s="3">
        <f t="shared" si="68"/>
        <v>62.328629032258078</v>
      </c>
      <c r="K267" s="26">
        <f t="shared" si="71"/>
        <v>198</v>
      </c>
      <c r="L267" s="23"/>
      <c r="N267" s="23"/>
      <c r="O267" s="28">
        <v>0.182</v>
      </c>
      <c r="P267" s="29">
        <v>0.11799999999999999</v>
      </c>
      <c r="Q267" s="23"/>
      <c r="R267" s="30">
        <v>126</v>
      </c>
      <c r="S267" s="31">
        <v>32</v>
      </c>
      <c r="T267" s="32">
        <v>1200</v>
      </c>
      <c r="U267" s="23"/>
      <c r="V267" s="33">
        <v>576</v>
      </c>
      <c r="W267" s="34">
        <f t="shared" si="69"/>
        <v>14.743171677461778</v>
      </c>
      <c r="X267" s="5"/>
      <c r="Y267" s="55">
        <v>1109</v>
      </c>
      <c r="Z267" s="34">
        <f t="shared" si="82"/>
        <v>0.14457424824354043</v>
      </c>
      <c r="AB267" s="27">
        <v>10</v>
      </c>
      <c r="AC267" s="27">
        <v>10</v>
      </c>
      <c r="AE267" s="5">
        <f t="shared" si="83"/>
        <v>307</v>
      </c>
      <c r="AF267" s="28"/>
      <c r="AG267" s="55"/>
      <c r="AH267" s="3"/>
      <c r="AJ267" s="5"/>
      <c r="AK267" s="2">
        <v>700</v>
      </c>
      <c r="AL267" s="7">
        <f t="shared" si="77"/>
        <v>8.8200000000000001E-2</v>
      </c>
      <c r="AM267" s="8">
        <f t="shared" si="78"/>
        <v>9.3799999999999994E-2</v>
      </c>
      <c r="AN267" s="56">
        <f t="shared" si="75"/>
        <v>2.24E-2</v>
      </c>
      <c r="AO267" s="9">
        <f t="shared" si="79"/>
        <v>9.5599999999999991E-2</v>
      </c>
      <c r="AP267" s="5"/>
      <c r="AQ267" s="91"/>
      <c r="AR267" s="5"/>
      <c r="AS267" s="96"/>
      <c r="AT267" s="5"/>
      <c r="AU267" s="30"/>
      <c r="AV267" s="31"/>
      <c r="AW267" s="32"/>
      <c r="AX267" s="147"/>
      <c r="BN267" s="5"/>
      <c r="BO267">
        <f t="shared" si="84"/>
        <v>0.47463499999999997</v>
      </c>
      <c r="BP267">
        <f t="shared" si="80"/>
        <v>0.85546999999999995</v>
      </c>
      <c r="BQ267">
        <f t="shared" si="85"/>
        <v>0.60158</v>
      </c>
      <c r="BR267">
        <f t="shared" si="86"/>
        <v>0.34769</v>
      </c>
      <c r="BS267" s="28"/>
      <c r="BT267" s="91"/>
      <c r="BU267" s="28"/>
      <c r="BV267" s="91"/>
      <c r="BW267" s="4">
        <f t="shared" si="81"/>
        <v>307</v>
      </c>
    </row>
    <row r="268" spans="1:75" thickTop="1" thickBot="1" x14ac:dyDescent="0.3">
      <c r="A268" s="15">
        <v>308</v>
      </c>
      <c r="B268" s="16">
        <v>29</v>
      </c>
      <c r="C268" s="16">
        <v>8</v>
      </c>
      <c r="D268" s="17"/>
      <c r="E268" s="1">
        <v>69</v>
      </c>
      <c r="F268" s="1">
        <v>-59</v>
      </c>
      <c r="G268" s="18">
        <f t="shared" si="70"/>
        <v>128</v>
      </c>
      <c r="H268" s="17"/>
      <c r="I268" s="16">
        <v>64</v>
      </c>
      <c r="J268" s="3">
        <f t="shared" si="68"/>
        <v>64.6875</v>
      </c>
      <c r="K268" s="20">
        <f t="shared" si="71"/>
        <v>210</v>
      </c>
      <c r="L268" s="17"/>
      <c r="N268" s="17"/>
      <c r="O268" s="8">
        <v>0.112</v>
      </c>
      <c r="P268" s="9">
        <v>6.3E-2</v>
      </c>
      <c r="Q268" s="17"/>
      <c r="R268" s="10">
        <v>194</v>
      </c>
      <c r="S268" s="11">
        <v>32</v>
      </c>
      <c r="T268" s="12">
        <v>1700</v>
      </c>
      <c r="U268" s="17"/>
      <c r="V268" s="7">
        <v>0</v>
      </c>
      <c r="W268" s="74" t="e">
        <f t="shared" si="69"/>
        <v>#DIV/0!</v>
      </c>
      <c r="Y268" s="56">
        <v>344</v>
      </c>
      <c r="Z268" s="13">
        <f t="shared" si="82"/>
        <v>0.15135050956037793</v>
      </c>
      <c r="AB268" s="72">
        <v>75</v>
      </c>
      <c r="AC268" s="72">
        <v>75</v>
      </c>
      <c r="AE268" s="5">
        <f t="shared" si="83"/>
        <v>308</v>
      </c>
      <c r="AF268" s="8">
        <f>(O268*AB268+O269*AB269+O270*AB270)/100</f>
        <v>0.11800000000000001</v>
      </c>
      <c r="AG268" s="56">
        <f>(P268*AC268+P269*AC269+P270*AC270)/100</f>
        <v>6.8049999999999999E-2</v>
      </c>
      <c r="AH268" s="3">
        <f>225-5.625*($B268-0.5)</f>
        <v>64.6875</v>
      </c>
      <c r="AI268">
        <f>K268</f>
        <v>210</v>
      </c>
      <c r="AK268" s="2">
        <v>700</v>
      </c>
      <c r="AL268" s="7">
        <f t="shared" si="77"/>
        <v>0.1358</v>
      </c>
      <c r="AM268" s="8">
        <f t="shared" si="78"/>
        <v>-2.3800000000000002E-2</v>
      </c>
      <c r="AN268" s="56">
        <f t="shared" si="75"/>
        <v>2.24E-2</v>
      </c>
      <c r="AO268" s="9">
        <f t="shared" si="79"/>
        <v>4.0599999999999997E-2</v>
      </c>
      <c r="AQ268" s="90">
        <f>($AB268*AM268+$AB269*AM269+$AB270*AM270)/100</f>
        <v>-7.6850000000000043E-3</v>
      </c>
      <c r="AS268" s="95">
        <f>($AB268*AO268+$AB269*AO269+$AB270*AO270)/100</f>
        <v>4.5159999999999999E-2</v>
      </c>
      <c r="AU268" s="10">
        <f>($AB268*R268+$AB269*R269+$AB270*R270)/100</f>
        <v>179.55</v>
      </c>
      <c r="AV268" s="11">
        <f>($AB268*S268+$AB269*S269+$AB270*S270)/100</f>
        <v>32.700000000000003</v>
      </c>
      <c r="AW268" s="12">
        <f>($AB268*T268+$AB269*T269+$AB270*T270)/100</f>
        <v>1670</v>
      </c>
      <c r="AX268" s="147">
        <f>($AB268*AK268+$AB269*AK269+$AB270*AK270)/100</f>
        <v>700</v>
      </c>
      <c r="BO268">
        <f t="shared" si="84"/>
        <v>0.56256499999999998</v>
      </c>
      <c r="BP268">
        <f t="shared" si="80"/>
        <v>1.14893</v>
      </c>
      <c r="BQ268">
        <f t="shared" si="85"/>
        <v>0.75802000000000003</v>
      </c>
      <c r="BR268">
        <f t="shared" si="86"/>
        <v>0.36710999999999999</v>
      </c>
      <c r="BS268" s="8">
        <f>($AB268*BO268+$AB269*BO269+$AB270*BO270)/100</f>
        <v>0.53500487499999994</v>
      </c>
      <c r="BT268" s="90">
        <f>($AB268*BP268+$AB269*BP269+$AB270*BP270)/100</f>
        <v>1.07769475</v>
      </c>
      <c r="BU268" s="8">
        <f>($AB268*BQ268+$AB269*BQ269+$AB270*BQ270)/100</f>
        <v>0.71590150000000008</v>
      </c>
      <c r="BV268" s="90">
        <f>($AB268*BR268+$AB269*BR269+$AB270*BR270)/100</f>
        <v>0.35410824999999996</v>
      </c>
      <c r="BW268" s="4">
        <f t="shared" si="81"/>
        <v>308</v>
      </c>
    </row>
    <row r="269" spans="1:75" thickTop="1" thickBot="1" x14ac:dyDescent="0.3">
      <c r="A269" s="4">
        <v>308</v>
      </c>
      <c r="B269" s="93">
        <v>29</v>
      </c>
      <c r="C269" s="93">
        <v>8</v>
      </c>
      <c r="E269" s="1">
        <v>69</v>
      </c>
      <c r="F269" s="1">
        <v>-59</v>
      </c>
      <c r="G269" s="3">
        <f t="shared" si="70"/>
        <v>128</v>
      </c>
      <c r="I269" s="14">
        <v>10</v>
      </c>
      <c r="J269" s="3">
        <f t="shared" si="68"/>
        <v>67.060546875</v>
      </c>
      <c r="K269" s="6">
        <f t="shared" si="71"/>
        <v>210</v>
      </c>
      <c r="O269" s="8">
        <v>0.112</v>
      </c>
      <c r="P269" s="9">
        <v>4.8000000000000001E-2</v>
      </c>
      <c r="R269" s="10">
        <v>181</v>
      </c>
      <c r="S269" s="11">
        <v>34</v>
      </c>
      <c r="T269" s="12">
        <v>1900</v>
      </c>
      <c r="V269" s="7">
        <v>0</v>
      </c>
      <c r="W269" s="74" t="e">
        <f t="shared" si="69"/>
        <v>#DIV/0!</v>
      </c>
      <c r="Y269" s="56">
        <v>296</v>
      </c>
      <c r="Z269" s="13">
        <f t="shared" si="82"/>
        <v>0.15289989659374653</v>
      </c>
      <c r="AB269">
        <v>5</v>
      </c>
      <c r="AC269">
        <v>5</v>
      </c>
      <c r="AE269" s="5">
        <f t="shared" si="83"/>
        <v>308</v>
      </c>
      <c r="AG269" s="56"/>
      <c r="AK269" s="2">
        <v>700</v>
      </c>
      <c r="AL269" s="7">
        <f t="shared" si="77"/>
        <v>0.12670000000000001</v>
      </c>
      <c r="AM269" s="8">
        <f t="shared" si="78"/>
        <v>-1.4700000000000005E-2</v>
      </c>
      <c r="AN269" s="56">
        <f t="shared" si="75"/>
        <v>2.3799999999999998E-2</v>
      </c>
      <c r="AO269" s="9">
        <f t="shared" si="79"/>
        <v>2.4200000000000003E-2</v>
      </c>
      <c r="AX269" s="147"/>
      <c r="BO269">
        <f t="shared" si="84"/>
        <v>0.53237250000000003</v>
      </c>
      <c r="BP269">
        <f t="shared" si="80"/>
        <v>1.079445</v>
      </c>
      <c r="BQ269">
        <f t="shared" si="85"/>
        <v>0.71472999999999998</v>
      </c>
      <c r="BR269">
        <f t="shared" si="86"/>
        <v>0.35001500000000002</v>
      </c>
      <c r="BS269" s="8"/>
      <c r="BT269" s="90"/>
      <c r="BU269" s="8"/>
      <c r="BV269" s="90"/>
      <c r="BW269" s="4">
        <f t="shared" si="81"/>
        <v>308</v>
      </c>
    </row>
    <row r="270" spans="1:75" s="27" customFormat="1" thickTop="1" thickBot="1" x14ac:dyDescent="0.3">
      <c r="A270" s="21">
        <v>308</v>
      </c>
      <c r="B270" s="22">
        <v>29</v>
      </c>
      <c r="C270" s="22">
        <v>8</v>
      </c>
      <c r="D270" s="23"/>
      <c r="E270" s="24">
        <v>69</v>
      </c>
      <c r="F270" s="24">
        <v>-59</v>
      </c>
      <c r="G270" s="25">
        <f t="shared" si="70"/>
        <v>128</v>
      </c>
      <c r="H270" s="23"/>
      <c r="I270" s="22">
        <v>118</v>
      </c>
      <c r="J270" s="3">
        <f t="shared" si="68"/>
        <v>62.314453125</v>
      </c>
      <c r="K270" s="26">
        <f t="shared" si="71"/>
        <v>210</v>
      </c>
      <c r="L270" s="23"/>
      <c r="N270" s="23"/>
      <c r="O270" s="28">
        <v>0.14199999999999999</v>
      </c>
      <c r="P270" s="29">
        <v>9.1999999999999998E-2</v>
      </c>
      <c r="Q270" s="23"/>
      <c r="R270" s="30">
        <v>125</v>
      </c>
      <c r="S270" s="31">
        <v>35</v>
      </c>
      <c r="T270" s="32">
        <v>1500</v>
      </c>
      <c r="U270" s="23"/>
      <c r="V270" s="33">
        <v>286</v>
      </c>
      <c r="W270" s="34">
        <f t="shared" si="69"/>
        <v>15.328569240638052</v>
      </c>
      <c r="X270" s="5"/>
      <c r="Y270" s="55">
        <v>498</v>
      </c>
      <c r="Z270" s="34">
        <f t="shared" si="82"/>
        <v>0.14835104357069437</v>
      </c>
      <c r="AB270" s="27">
        <v>20</v>
      </c>
      <c r="AC270" s="27">
        <v>20</v>
      </c>
      <c r="AE270" s="5">
        <f t="shared" si="83"/>
        <v>308</v>
      </c>
      <c r="AF270" s="28"/>
      <c r="AG270" s="55"/>
      <c r="AH270" s="3"/>
      <c r="AJ270" s="5"/>
      <c r="AK270" s="2">
        <v>700</v>
      </c>
      <c r="AL270" s="7">
        <f t="shared" si="77"/>
        <v>8.7499999999999994E-2</v>
      </c>
      <c r="AM270" s="8">
        <f t="shared" si="78"/>
        <v>5.4499999999999993E-2</v>
      </c>
      <c r="AN270" s="56">
        <f t="shared" si="75"/>
        <v>2.4499999999999997E-2</v>
      </c>
      <c r="AO270" s="9">
        <f t="shared" si="79"/>
        <v>6.7500000000000004E-2</v>
      </c>
      <c r="AP270" s="5"/>
      <c r="AQ270" s="91"/>
      <c r="AR270" s="5"/>
      <c r="AS270" s="96"/>
      <c r="AT270" s="5"/>
      <c r="AU270" s="30"/>
      <c r="AV270" s="31"/>
      <c r="AW270" s="32"/>
      <c r="AX270" s="147"/>
      <c r="BN270" s="5"/>
      <c r="BO270">
        <f t="shared" si="84"/>
        <v>0.43231249999999999</v>
      </c>
      <c r="BP270">
        <f t="shared" si="80"/>
        <v>0.81012499999999998</v>
      </c>
      <c r="BQ270">
        <f t="shared" si="85"/>
        <v>0.55825000000000002</v>
      </c>
      <c r="BR270">
        <f t="shared" si="86"/>
        <v>0.30637499999999995</v>
      </c>
      <c r="BS270" s="28"/>
      <c r="BT270" s="91"/>
      <c r="BU270" s="28"/>
      <c r="BV270" s="91"/>
      <c r="BW270" s="4">
        <f t="shared" si="81"/>
        <v>308</v>
      </c>
    </row>
    <row r="271" spans="1:75" thickTop="1" thickBot="1" x14ac:dyDescent="0.3">
      <c r="A271" s="15">
        <v>309</v>
      </c>
      <c r="B271" s="16">
        <v>29</v>
      </c>
      <c r="C271" s="16">
        <v>9</v>
      </c>
      <c r="D271" s="17"/>
      <c r="E271" s="1">
        <v>67</v>
      </c>
      <c r="F271" s="1">
        <v>-65</v>
      </c>
      <c r="G271" s="18">
        <f t="shared" si="70"/>
        <v>132</v>
      </c>
      <c r="H271" s="17"/>
      <c r="I271" s="16">
        <v>66</v>
      </c>
      <c r="J271" s="3">
        <f t="shared" si="68"/>
        <v>64.6875</v>
      </c>
      <c r="K271" s="20">
        <f t="shared" si="71"/>
        <v>222</v>
      </c>
      <c r="L271" s="17"/>
      <c r="N271" s="17"/>
      <c r="O271" s="8">
        <v>0.29399999999999998</v>
      </c>
      <c r="P271" s="9">
        <v>0.109</v>
      </c>
      <c r="Q271" s="17"/>
      <c r="R271" s="10">
        <v>415</v>
      </c>
      <c r="S271" s="11">
        <v>154</v>
      </c>
      <c r="T271" s="12">
        <v>4500</v>
      </c>
      <c r="U271" s="17"/>
      <c r="V271" s="7">
        <v>0</v>
      </c>
      <c r="W271" s="74" t="e">
        <f t="shared" si="69"/>
        <v>#DIV/0!</v>
      </c>
      <c r="Y271" s="56">
        <v>0</v>
      </c>
      <c r="Z271" s="13" t="e">
        <f t="shared" si="82"/>
        <v>#DIV/0!</v>
      </c>
      <c r="AB271" s="72">
        <v>70</v>
      </c>
      <c r="AC271" s="72">
        <v>70</v>
      </c>
      <c r="AE271" s="5">
        <f t="shared" si="83"/>
        <v>309</v>
      </c>
      <c r="AF271" s="8">
        <f>(O271*AB271+O272*AB272+O273*AB273)/100</f>
        <v>0.28349999999999997</v>
      </c>
      <c r="AG271" s="56">
        <f>(P271*AC271+P272*AC272+P273*AC273)/100</f>
        <v>0.1003</v>
      </c>
      <c r="AH271" s="3">
        <f>225-5.625*($B271-0.5)</f>
        <v>64.6875</v>
      </c>
      <c r="AI271">
        <f>K271</f>
        <v>222</v>
      </c>
      <c r="AK271" s="2">
        <v>700</v>
      </c>
      <c r="AL271" s="7">
        <f t="shared" si="77"/>
        <v>0.29049999999999998</v>
      </c>
      <c r="AM271" s="8">
        <f t="shared" si="78"/>
        <v>3.5000000000000031E-3</v>
      </c>
      <c r="AN271" s="56">
        <f t="shared" si="75"/>
        <v>0.10779999999999999</v>
      </c>
      <c r="AO271" s="9">
        <f t="shared" si="79"/>
        <v>1.2000000000000066E-3</v>
      </c>
      <c r="AQ271" s="90">
        <f>($AB271*AM271+$AB272*AM272+$AB273*AM273)/100</f>
        <v>-7.209999999999989E-3</v>
      </c>
      <c r="AS271" s="95">
        <f>($AB271*AO271+$AB272*AO272+$AB273*AO273)/100</f>
        <v>3.8400000000000049E-3</v>
      </c>
      <c r="AU271" s="10">
        <f>($AB271*R271+$AB272*R272+$AB273*R273)/100</f>
        <v>415.3</v>
      </c>
      <c r="AV271" s="11">
        <f>($AB271*S271+$AB272*S272+$AB273*S273)/100</f>
        <v>137.80000000000001</v>
      </c>
      <c r="AW271" s="12">
        <f>($AB271*T271+$AB272*T272+$AB273*T273)/100</f>
        <v>4530</v>
      </c>
      <c r="AX271" s="147">
        <f>($AB271*AK271+$AB272*AK272+$AB273*AK273)/100</f>
        <v>700</v>
      </c>
      <c r="BO271">
        <f t="shared" si="84"/>
        <v>1.2578374999999999</v>
      </c>
      <c r="BP271">
        <f t="shared" si="80"/>
        <v>2.512175</v>
      </c>
      <c r="BQ271">
        <f t="shared" si="85"/>
        <v>1.6759500000000001</v>
      </c>
      <c r="BR271">
        <f t="shared" si="86"/>
        <v>0.83972500000000005</v>
      </c>
      <c r="BS271" s="8">
        <f>($AB271*BO271+$AB272*BO272+$AB273*BO273)/100</f>
        <v>1.2480342500000001</v>
      </c>
      <c r="BT271" s="90">
        <f>($AB271*BP271+$AB272*BP272+$AB273*BP273)/100</f>
        <v>2.5032785</v>
      </c>
      <c r="BU271" s="8">
        <f>($AB271*BQ271+$AB272*BQ272+$AB273*BQ273)/100</f>
        <v>1.6664490000000001</v>
      </c>
      <c r="BV271" s="90">
        <f>($AB271*BR271+$AB272*BR272+$AB273*BR273)/100</f>
        <v>0.82961950000000018</v>
      </c>
      <c r="BW271" s="4">
        <f t="shared" si="81"/>
        <v>309</v>
      </c>
    </row>
    <row r="272" spans="1:75" thickTop="1" thickBot="1" x14ac:dyDescent="0.3">
      <c r="A272" s="4">
        <v>309</v>
      </c>
      <c r="B272" s="139">
        <v>29</v>
      </c>
      <c r="C272" s="139">
        <v>9</v>
      </c>
      <c r="E272" s="1">
        <v>67</v>
      </c>
      <c r="F272" s="1">
        <v>-65</v>
      </c>
      <c r="G272" s="3">
        <f t="shared" si="70"/>
        <v>132</v>
      </c>
      <c r="I272" s="14">
        <v>10</v>
      </c>
      <c r="J272" s="3">
        <f t="shared" ref="J272:J312" si="87">225-5.625*(B272-0.5+(I272-0.5*G272)/G272)</f>
        <v>67.073863636363654</v>
      </c>
      <c r="K272" s="6">
        <f t="shared" si="71"/>
        <v>222</v>
      </c>
      <c r="O272" s="8">
        <v>0.25900000000000001</v>
      </c>
      <c r="P272" s="9">
        <v>8.2000000000000003E-2</v>
      </c>
      <c r="R272" s="10">
        <v>372</v>
      </c>
      <c r="S272" s="11">
        <v>117</v>
      </c>
      <c r="T272" s="12">
        <v>4800</v>
      </c>
      <c r="V272" s="7">
        <v>0</v>
      </c>
      <c r="W272" s="74" t="e">
        <f t="shared" ref="W272:W286" si="88">SQRT(0.1^2+0.1^2+1/V272)*100</f>
        <v>#DIV/0!</v>
      </c>
      <c r="Y272" s="56">
        <v>0</v>
      </c>
      <c r="Z272" s="13" t="e">
        <f t="shared" si="82"/>
        <v>#DIV/0!</v>
      </c>
      <c r="AB272">
        <v>20</v>
      </c>
      <c r="AC272">
        <v>20</v>
      </c>
      <c r="AE272" s="5">
        <f t="shared" si="83"/>
        <v>309</v>
      </c>
      <c r="AG272" s="56"/>
      <c r="AK272" s="2">
        <v>700</v>
      </c>
      <c r="AL272" s="7">
        <f t="shared" si="77"/>
        <v>0.26039999999999996</v>
      </c>
      <c r="AM272" s="8">
        <f t="shared" si="78"/>
        <v>-1.3999999999999568E-3</v>
      </c>
      <c r="AN272" s="56">
        <f t="shared" si="75"/>
        <v>8.1900000000000001E-2</v>
      </c>
      <c r="AO272" s="9">
        <f t="shared" si="79"/>
        <v>1.0000000000000286E-4</v>
      </c>
      <c r="AX272" s="147"/>
      <c r="BO272">
        <f t="shared" si="84"/>
        <v>1.12297</v>
      </c>
      <c r="BP272">
        <f t="shared" si="80"/>
        <v>2.2473399999999999</v>
      </c>
      <c r="BQ272">
        <f t="shared" si="85"/>
        <v>1.49776</v>
      </c>
      <c r="BR272">
        <f t="shared" si="86"/>
        <v>0.74818000000000007</v>
      </c>
      <c r="BS272" s="8"/>
      <c r="BT272" s="90"/>
      <c r="BU272" s="8"/>
      <c r="BV272" s="90"/>
      <c r="BW272" s="4">
        <f t="shared" si="81"/>
        <v>309</v>
      </c>
    </row>
    <row r="273" spans="1:75" s="27" customFormat="1" thickTop="1" thickBot="1" x14ac:dyDescent="0.3">
      <c r="A273" s="21">
        <v>309</v>
      </c>
      <c r="B273" s="22">
        <v>29</v>
      </c>
      <c r="C273" s="22">
        <v>9</v>
      </c>
      <c r="D273" s="23"/>
      <c r="E273" s="24">
        <v>67</v>
      </c>
      <c r="F273" s="24">
        <v>-65</v>
      </c>
      <c r="G273" s="25">
        <f t="shared" ref="G273:G286" si="89">E273-F273</f>
        <v>132</v>
      </c>
      <c r="H273" s="23"/>
      <c r="I273" s="22">
        <v>122</v>
      </c>
      <c r="J273" s="3">
        <f t="shared" si="87"/>
        <v>62.301136363636346</v>
      </c>
      <c r="K273" s="26">
        <f t="shared" ref="K273:K286" si="90">120+12*(C273-0.5)</f>
        <v>222</v>
      </c>
      <c r="L273" s="23"/>
      <c r="N273" s="23"/>
      <c r="O273" s="28">
        <v>0.25900000000000001</v>
      </c>
      <c r="P273" s="29">
        <v>7.5999999999999998E-2</v>
      </c>
      <c r="Q273" s="23"/>
      <c r="R273" s="30">
        <v>504</v>
      </c>
      <c r="S273" s="31">
        <v>66</v>
      </c>
      <c r="T273" s="32">
        <v>4200</v>
      </c>
      <c r="U273" s="23"/>
      <c r="V273" s="33">
        <v>0</v>
      </c>
      <c r="W273" s="34" t="e">
        <f t="shared" si="88"/>
        <v>#DIV/0!</v>
      </c>
      <c r="X273" s="5"/>
      <c r="Y273" s="55">
        <v>449</v>
      </c>
      <c r="Z273" s="34">
        <f t="shared" si="82"/>
        <v>0.1490877979319733</v>
      </c>
      <c r="AB273" s="27">
        <v>10</v>
      </c>
      <c r="AC273" s="27">
        <v>10</v>
      </c>
      <c r="AE273" s="5">
        <f t="shared" si="83"/>
        <v>309</v>
      </c>
      <c r="AF273" s="28"/>
      <c r="AG273" s="55"/>
      <c r="AH273" s="3"/>
      <c r="AJ273" s="5"/>
      <c r="AK273" s="2">
        <v>700</v>
      </c>
      <c r="AL273" s="7">
        <f t="shared" si="77"/>
        <v>0.3528</v>
      </c>
      <c r="AM273" s="8">
        <f t="shared" si="78"/>
        <v>-9.3799999999999994E-2</v>
      </c>
      <c r="AN273" s="56">
        <f t="shared" si="75"/>
        <v>4.6199999999999998E-2</v>
      </c>
      <c r="AO273" s="9">
        <f t="shared" si="79"/>
        <v>2.98E-2</v>
      </c>
      <c r="AP273" s="5"/>
      <c r="AQ273" s="91"/>
      <c r="AR273" s="5"/>
      <c r="AS273" s="96"/>
      <c r="AT273" s="5"/>
      <c r="AU273" s="30"/>
      <c r="AV273" s="31"/>
      <c r="AW273" s="32"/>
      <c r="AX273" s="147"/>
      <c r="BN273" s="5"/>
      <c r="BO273">
        <f t="shared" si="84"/>
        <v>1.4295399999999998</v>
      </c>
      <c r="BP273">
        <f t="shared" si="80"/>
        <v>2.9528799999999999</v>
      </c>
      <c r="BQ273">
        <f t="shared" si="85"/>
        <v>1.9373200000000002</v>
      </c>
      <c r="BR273">
        <f t="shared" si="86"/>
        <v>0.92176000000000002</v>
      </c>
      <c r="BS273" s="28"/>
      <c r="BT273" s="91"/>
      <c r="BU273" s="28"/>
      <c r="BV273" s="91"/>
      <c r="BW273" s="4">
        <f t="shared" si="81"/>
        <v>309</v>
      </c>
    </row>
    <row r="274" spans="1:75" thickTop="1" thickBot="1" x14ac:dyDescent="0.3">
      <c r="A274" s="15">
        <v>310</v>
      </c>
      <c r="B274" s="16">
        <v>29</v>
      </c>
      <c r="C274" s="16">
        <v>10</v>
      </c>
      <c r="D274" s="17"/>
      <c r="E274" s="1">
        <v>76</v>
      </c>
      <c r="F274" s="1">
        <v>-67</v>
      </c>
      <c r="G274" s="18">
        <f t="shared" si="89"/>
        <v>143</v>
      </c>
      <c r="H274" s="17"/>
      <c r="I274" s="16">
        <v>72</v>
      </c>
      <c r="J274" s="3">
        <f>225-5.625*(B274-0.5-(I274-0.5*G274)/G274)</f>
        <v>64.707167832167841</v>
      </c>
      <c r="K274" s="20">
        <f t="shared" si="90"/>
        <v>234</v>
      </c>
      <c r="L274" s="17"/>
      <c r="N274" s="17"/>
      <c r="O274" s="8">
        <v>0.56399999999999995</v>
      </c>
      <c r="P274" s="9">
        <v>0.22900000000000001</v>
      </c>
      <c r="Q274" s="17"/>
      <c r="R274" s="10">
        <v>148</v>
      </c>
      <c r="S274" s="11">
        <v>178</v>
      </c>
      <c r="T274" s="12">
        <v>400</v>
      </c>
      <c r="U274" s="17"/>
      <c r="V274" s="7">
        <v>1620</v>
      </c>
      <c r="W274" s="74">
        <f t="shared" si="88"/>
        <v>14.358719981466765</v>
      </c>
      <c r="Y274" s="56">
        <v>2373</v>
      </c>
      <c r="Z274" s="13">
        <f t="shared" si="82"/>
        <v>0.14290349016400378</v>
      </c>
      <c r="AB274" s="72">
        <v>90</v>
      </c>
      <c r="AC274" s="72">
        <v>90</v>
      </c>
      <c r="AD274" t="s">
        <v>62</v>
      </c>
      <c r="AE274" s="5">
        <f t="shared" si="83"/>
        <v>310</v>
      </c>
      <c r="AF274" s="8">
        <f>(O274*AB274+O275*AB275+O276*AB276)/100</f>
        <v>0.56479999999999997</v>
      </c>
      <c r="AG274" s="56">
        <f>(P274*AC274+P275*AC275+P276*AC276)/100</f>
        <v>0.21684999999999999</v>
      </c>
      <c r="AH274" s="3">
        <f>225-5.625*($B274-0.5)</f>
        <v>64.6875</v>
      </c>
      <c r="AI274">
        <f>K274</f>
        <v>234</v>
      </c>
      <c r="AK274" s="2">
        <v>1000</v>
      </c>
      <c r="AL274" s="7">
        <f t="shared" si="77"/>
        <v>0.14799999999999999</v>
      </c>
      <c r="AM274" s="8">
        <f t="shared" si="78"/>
        <v>0.41599999999999993</v>
      </c>
      <c r="AN274" s="56">
        <f t="shared" si="75"/>
        <v>0.17799999999999999</v>
      </c>
      <c r="AO274" s="9">
        <f t="shared" si="79"/>
        <v>5.1000000000000018E-2</v>
      </c>
      <c r="AQ274" s="90">
        <f>($AB274*AM274+$AB275*AM275+$AB276*AM276)/100</f>
        <v>0.41553499999999993</v>
      </c>
      <c r="AS274" s="95">
        <f>($AB274*AO274+$AB275*AO275+$AB276*AO276)/100</f>
        <v>5.2465000000000019E-2</v>
      </c>
      <c r="AU274" s="10">
        <f>($AB274*R274+$AB275*R275+$AB276*R276)/100</f>
        <v>153.65</v>
      </c>
      <c r="AV274" s="11">
        <f>($AB274*S274+$AB275*S275+$AB276*S276)/100</f>
        <v>165.6</v>
      </c>
      <c r="AW274" s="12">
        <f>($AB274*T274+$AB275*T275+$AB276*T276)/100</f>
        <v>560</v>
      </c>
      <c r="AX274" s="147">
        <f>($AB274*AK274+$AB275*AK275+$AB276*AK276)/100</f>
        <v>975</v>
      </c>
      <c r="BO274">
        <f t="shared" si="84"/>
        <v>0.86332999999999993</v>
      </c>
      <c r="BP274">
        <f t="shared" si="80"/>
        <v>1.3106599999999999</v>
      </c>
      <c r="BQ274">
        <f t="shared" si="85"/>
        <v>1.01244</v>
      </c>
      <c r="BR274">
        <f t="shared" si="86"/>
        <v>0.71421999999999997</v>
      </c>
      <c r="BS274" s="8">
        <f>($AB274*BO274+$AB275*BO275+$AB276*BO276)/100</f>
        <v>0.87994212499999991</v>
      </c>
      <c r="BT274" s="90">
        <f>($AB274*BP274+$AB275*BP275+$AB276*BP276)/100</f>
        <v>1.3443492499999998</v>
      </c>
      <c r="BU274" s="8">
        <f>($AB274*BQ274+$AB275*BQ275+$AB276*BQ276)/100</f>
        <v>1.0347445</v>
      </c>
      <c r="BV274" s="90">
        <f>($AB274*BR274+$AB275*BR275+$AB276*BR276)/100</f>
        <v>0.72513974999999986</v>
      </c>
      <c r="BW274" s="4">
        <f t="shared" si="81"/>
        <v>310</v>
      </c>
    </row>
    <row r="275" spans="1:75" thickTop="1" thickBot="1" x14ac:dyDescent="0.3">
      <c r="A275" s="4">
        <v>310</v>
      </c>
      <c r="B275" s="93">
        <v>29</v>
      </c>
      <c r="C275" s="93">
        <v>10</v>
      </c>
      <c r="E275" s="1">
        <v>76</v>
      </c>
      <c r="F275" s="1">
        <v>-67</v>
      </c>
      <c r="G275" s="3">
        <f t="shared" si="89"/>
        <v>143</v>
      </c>
      <c r="I275" s="2">
        <v>10</v>
      </c>
      <c r="J275" s="3">
        <f>225-5.625*(B275-0.5-(I275-0.5*G275)/G275)</f>
        <v>62.26835664335664</v>
      </c>
      <c r="K275" s="6">
        <f t="shared" si="90"/>
        <v>234</v>
      </c>
      <c r="O275" s="8">
        <v>0.26900000000000002</v>
      </c>
      <c r="P275" s="9">
        <v>4.1000000000000002E-2</v>
      </c>
      <c r="R275" s="10">
        <v>59</v>
      </c>
      <c r="S275" s="11">
        <v>27</v>
      </c>
      <c r="T275" s="12">
        <v>400</v>
      </c>
      <c r="V275" s="7">
        <v>719</v>
      </c>
      <c r="W275" s="74">
        <f t="shared" si="88"/>
        <v>14.625601042057948</v>
      </c>
      <c r="Y275" s="56">
        <v>332</v>
      </c>
      <c r="Z275" s="13">
        <f t="shared" si="82"/>
        <v>0.15169722539575695</v>
      </c>
      <c r="AB275" s="72">
        <v>5</v>
      </c>
      <c r="AC275" s="72">
        <v>5</v>
      </c>
      <c r="AD275" t="s">
        <v>63</v>
      </c>
      <c r="AE275" s="5">
        <f t="shared" si="83"/>
        <v>310</v>
      </c>
      <c r="AG275" s="56"/>
      <c r="AK275" s="2">
        <v>700</v>
      </c>
      <c r="AL275" s="7">
        <f t="shared" si="77"/>
        <v>4.1299999999999996E-2</v>
      </c>
      <c r="AM275" s="8">
        <f t="shared" si="78"/>
        <v>0.22770000000000001</v>
      </c>
      <c r="AN275" s="56">
        <f t="shared" si="75"/>
        <v>1.89E-2</v>
      </c>
      <c r="AO275" s="9">
        <f t="shared" si="79"/>
        <v>2.2100000000000002E-2</v>
      </c>
      <c r="AX275" s="147"/>
      <c r="BO275">
        <f t="shared" si="84"/>
        <v>0.40602749999999999</v>
      </c>
      <c r="BP275">
        <f t="shared" si="80"/>
        <v>0.58435499999999996</v>
      </c>
      <c r="BQ275">
        <f t="shared" si="85"/>
        <v>0.46547000000000005</v>
      </c>
      <c r="BR275">
        <f t="shared" si="86"/>
        <v>0.34658500000000003</v>
      </c>
      <c r="BS275" s="8"/>
      <c r="BT275" s="90"/>
      <c r="BU275" s="8"/>
      <c r="BV275" s="90"/>
      <c r="BW275" s="4">
        <f t="shared" si="81"/>
        <v>310</v>
      </c>
    </row>
    <row r="276" spans="1:75" s="27" customFormat="1" thickTop="1" thickBot="1" x14ac:dyDescent="0.3">
      <c r="A276" s="21">
        <v>310</v>
      </c>
      <c r="B276" s="22">
        <v>29</v>
      </c>
      <c r="C276" s="22">
        <v>10</v>
      </c>
      <c r="D276" s="23"/>
      <c r="E276" s="24">
        <v>76</v>
      </c>
      <c r="F276" s="24">
        <v>-67</v>
      </c>
      <c r="G276" s="25">
        <f t="shared" si="89"/>
        <v>143</v>
      </c>
      <c r="H276" s="23"/>
      <c r="I276" s="86">
        <v>133</v>
      </c>
      <c r="J276" s="3">
        <f>225-5.625*(B276-0.5-(I276-0.5*G276)/G276)</f>
        <v>67.10664335664336</v>
      </c>
      <c r="K276" s="26">
        <f t="shared" si="90"/>
        <v>234</v>
      </c>
      <c r="L276" s="23"/>
      <c r="N276" s="23"/>
      <c r="O276" s="28">
        <v>0.875</v>
      </c>
      <c r="P276" s="29">
        <v>0.17399999999999999</v>
      </c>
      <c r="Q276" s="23"/>
      <c r="R276" s="30">
        <v>350</v>
      </c>
      <c r="S276" s="31">
        <v>81</v>
      </c>
      <c r="T276" s="32">
        <v>3600</v>
      </c>
      <c r="U276" s="23"/>
      <c r="V276" s="33">
        <v>2229</v>
      </c>
      <c r="W276" s="34">
        <f t="shared" si="88"/>
        <v>14.299871213894253</v>
      </c>
      <c r="X276" s="5"/>
      <c r="Y276" s="55">
        <v>1535</v>
      </c>
      <c r="Z276" s="34">
        <f t="shared" si="82"/>
        <v>0.14370617870518165</v>
      </c>
      <c r="AB276" s="27">
        <v>5</v>
      </c>
      <c r="AC276" s="27">
        <v>5</v>
      </c>
      <c r="AD276" s="27" t="s">
        <v>64</v>
      </c>
      <c r="AE276" s="5">
        <f t="shared" si="83"/>
        <v>310</v>
      </c>
      <c r="AF276" s="28"/>
      <c r="AG276" s="55"/>
      <c r="AH276" s="3"/>
      <c r="AJ276" s="5"/>
      <c r="AK276" s="2">
        <v>800</v>
      </c>
      <c r="AL276" s="7">
        <f t="shared" si="77"/>
        <v>0.27999999999999997</v>
      </c>
      <c r="AM276" s="8">
        <f t="shared" si="78"/>
        <v>0.59499999999999997</v>
      </c>
      <c r="AN276" s="56">
        <f t="shared" si="75"/>
        <v>6.4799999999999996E-2</v>
      </c>
      <c r="AO276" s="9">
        <f t="shared" si="79"/>
        <v>0.10919999999999999</v>
      </c>
      <c r="AP276" s="5"/>
      <c r="AQ276" s="91"/>
      <c r="AR276" s="5"/>
      <c r="AS276" s="96"/>
      <c r="AT276" s="5"/>
      <c r="AU276" s="30"/>
      <c r="AV276" s="31"/>
      <c r="AW276" s="32"/>
      <c r="AX276" s="147"/>
      <c r="BN276" s="5"/>
      <c r="BO276">
        <f t="shared" si="84"/>
        <v>1.6528749999999999</v>
      </c>
      <c r="BP276">
        <f t="shared" si="80"/>
        <v>2.71075</v>
      </c>
      <c r="BQ276">
        <f t="shared" si="85"/>
        <v>2.0055000000000001</v>
      </c>
      <c r="BR276">
        <f t="shared" si="86"/>
        <v>1.3002500000000001</v>
      </c>
      <c r="BS276" s="28"/>
      <c r="BT276" s="91"/>
      <c r="BU276" s="28"/>
      <c r="BV276" s="91"/>
      <c r="BW276" s="4">
        <f t="shared" si="81"/>
        <v>310</v>
      </c>
    </row>
    <row r="277" spans="1:75" thickTop="1" thickBot="1" x14ac:dyDescent="0.3">
      <c r="A277" s="15">
        <v>326</v>
      </c>
      <c r="B277" s="16">
        <v>35</v>
      </c>
      <c r="C277" s="16">
        <v>6</v>
      </c>
      <c r="D277" s="17"/>
      <c r="E277" s="1">
        <v>60</v>
      </c>
      <c r="F277" s="1">
        <v>-60</v>
      </c>
      <c r="G277" s="18">
        <f t="shared" si="89"/>
        <v>120</v>
      </c>
      <c r="H277" s="17"/>
      <c r="I277" s="16">
        <v>60</v>
      </c>
      <c r="J277" s="3">
        <f t="shared" si="87"/>
        <v>30.9375</v>
      </c>
      <c r="K277" s="20">
        <f t="shared" si="90"/>
        <v>186</v>
      </c>
      <c r="L277" s="17"/>
      <c r="M277" s="13" t="s">
        <v>101</v>
      </c>
      <c r="N277" s="17"/>
      <c r="O277" s="8">
        <v>0.23100000000000001</v>
      </c>
      <c r="P277" s="9">
        <v>9.2999999999999999E-2</v>
      </c>
      <c r="Q277" s="17"/>
      <c r="R277" s="10">
        <v>236</v>
      </c>
      <c r="S277" s="11">
        <v>64</v>
      </c>
      <c r="T277" s="12">
        <v>1500</v>
      </c>
      <c r="U277" s="17"/>
      <c r="V277" s="7">
        <v>354</v>
      </c>
      <c r="W277" s="74">
        <f t="shared" si="88"/>
        <v>15.10789818507596</v>
      </c>
      <c r="Y277" s="56">
        <v>380</v>
      </c>
      <c r="Z277" s="13">
        <f t="shared" si="82"/>
        <v>0.15043795713638372</v>
      </c>
      <c r="AB277" s="72">
        <v>70</v>
      </c>
      <c r="AC277" s="72">
        <v>70</v>
      </c>
      <c r="AD277" s="13" t="s">
        <v>71</v>
      </c>
      <c r="AE277" s="5">
        <f t="shared" si="83"/>
        <v>326</v>
      </c>
      <c r="AG277" s="56"/>
      <c r="AH277" s="3">
        <f>225-5.625*($B277-0.5)</f>
        <v>30.9375</v>
      </c>
      <c r="AI277">
        <f>K277</f>
        <v>186</v>
      </c>
      <c r="AX277" s="147">
        <f>($AB277*AK277+$AB278*AK278+$AB279*AK279)/100</f>
        <v>0</v>
      </c>
      <c r="BO277">
        <f t="shared" si="84"/>
        <v>0.94430999999999998</v>
      </c>
      <c r="BP277">
        <f t="shared" si="80"/>
        <v>1.6576200000000001</v>
      </c>
      <c r="BQ277">
        <f t="shared" si="85"/>
        <v>1.18208</v>
      </c>
      <c r="BR277">
        <f t="shared" si="86"/>
        <v>0.70654000000000006</v>
      </c>
      <c r="BS277" s="8">
        <f>($AB277*BO277+$AB278*BO278+$AB279*BO279)/100</f>
        <v>0.92128074999999998</v>
      </c>
      <c r="BT277" s="90">
        <f>($AB277*BP277+$AB278*BP278+$AB279*BP279)/100</f>
        <v>1.6306615</v>
      </c>
      <c r="BU277" s="8">
        <f>($AB277*BQ277+$AB278*BQ278+$AB279*BQ279)/100</f>
        <v>1.1577410000000001</v>
      </c>
      <c r="BV277" s="90">
        <f>($AB277*BR277+$AB278*BR278+$AB279*BR279)/100</f>
        <v>0.68482050000000017</v>
      </c>
      <c r="BW277" s="4">
        <f t="shared" si="81"/>
        <v>326</v>
      </c>
    </row>
    <row r="278" spans="1:75" thickTop="1" thickBot="1" x14ac:dyDescent="0.3">
      <c r="A278" s="4">
        <v>326</v>
      </c>
      <c r="B278" s="93">
        <v>35</v>
      </c>
      <c r="C278" s="93">
        <v>6</v>
      </c>
      <c r="E278" s="1">
        <v>60</v>
      </c>
      <c r="F278" s="1">
        <v>-60</v>
      </c>
      <c r="G278" s="3">
        <f t="shared" si="89"/>
        <v>120</v>
      </c>
      <c r="I278" s="14">
        <v>10</v>
      </c>
      <c r="J278" s="3">
        <f t="shared" si="87"/>
        <v>33.28125</v>
      </c>
      <c r="K278" s="6">
        <f t="shared" si="90"/>
        <v>186</v>
      </c>
      <c r="M278" s="13" t="s">
        <v>102</v>
      </c>
      <c r="O278" s="8">
        <v>0.25</v>
      </c>
      <c r="P278" s="9">
        <v>3.4000000000000002E-2</v>
      </c>
      <c r="R278" s="10">
        <v>271</v>
      </c>
      <c r="S278" s="11">
        <v>47</v>
      </c>
      <c r="T278" s="12">
        <v>1500</v>
      </c>
      <c r="V278" s="7">
        <v>395</v>
      </c>
      <c r="W278" s="74">
        <f t="shared" si="88"/>
        <v>15.010544816768062</v>
      </c>
      <c r="Y278" s="56">
        <v>0</v>
      </c>
      <c r="Z278" s="13" t="e">
        <f t="shared" si="82"/>
        <v>#DIV/0!</v>
      </c>
      <c r="AB278">
        <v>10</v>
      </c>
      <c r="AC278">
        <v>10</v>
      </c>
      <c r="AD278" s="13" t="s">
        <v>72</v>
      </c>
      <c r="AE278" s="5">
        <f t="shared" si="83"/>
        <v>326</v>
      </c>
      <c r="AG278" s="56"/>
      <c r="AX278" s="147"/>
      <c r="BO278">
        <f t="shared" si="84"/>
        <v>1.0690975</v>
      </c>
      <c r="BP278">
        <f t="shared" si="80"/>
        <v>1.8881950000000001</v>
      </c>
      <c r="BQ278">
        <f t="shared" si="85"/>
        <v>1.34213</v>
      </c>
      <c r="BR278">
        <f t="shared" si="86"/>
        <v>0.79606500000000002</v>
      </c>
      <c r="BS278" s="8"/>
      <c r="BT278" s="90"/>
      <c r="BU278" s="8"/>
      <c r="BV278" s="90"/>
      <c r="BW278" s="4">
        <f t="shared" si="81"/>
        <v>326</v>
      </c>
    </row>
    <row r="279" spans="1:75" s="27" customFormat="1" thickTop="1" thickBot="1" x14ac:dyDescent="0.3">
      <c r="A279" s="21">
        <v>326</v>
      </c>
      <c r="B279" s="22">
        <v>35</v>
      </c>
      <c r="C279" s="22">
        <v>6</v>
      </c>
      <c r="D279" s="23"/>
      <c r="E279" s="24">
        <v>60</v>
      </c>
      <c r="F279" s="24">
        <v>-60</v>
      </c>
      <c r="G279" s="25">
        <f t="shared" si="89"/>
        <v>120</v>
      </c>
      <c r="H279" s="23"/>
      <c r="I279" s="22">
        <v>110</v>
      </c>
      <c r="J279" s="3">
        <f t="shared" si="87"/>
        <v>28.59375</v>
      </c>
      <c r="K279" s="26">
        <f t="shared" si="90"/>
        <v>186</v>
      </c>
      <c r="L279" s="23"/>
      <c r="M279" s="34"/>
      <c r="N279" s="23"/>
      <c r="O279" s="28">
        <v>0.126</v>
      </c>
      <c r="P279" s="29">
        <v>0.04</v>
      </c>
      <c r="Q279" s="23"/>
      <c r="R279" s="30">
        <v>212</v>
      </c>
      <c r="S279" s="31">
        <v>35</v>
      </c>
      <c r="T279" s="32">
        <v>2000</v>
      </c>
      <c r="U279" s="23"/>
      <c r="V279" s="33">
        <v>0</v>
      </c>
      <c r="W279" s="34" t="e">
        <f t="shared" si="88"/>
        <v>#DIV/0!</v>
      </c>
      <c r="X279" s="5"/>
      <c r="Y279" s="55">
        <v>161</v>
      </c>
      <c r="Z279" s="34">
        <f t="shared" si="82"/>
        <v>0.16189867239796504</v>
      </c>
      <c r="AB279" s="27">
        <v>20</v>
      </c>
      <c r="AC279" s="27">
        <v>20</v>
      </c>
      <c r="AD279" s="34" t="s">
        <v>99</v>
      </c>
      <c r="AE279" s="5">
        <f t="shared" si="83"/>
        <v>326</v>
      </c>
      <c r="AF279" s="28"/>
      <c r="AG279" s="55"/>
      <c r="AH279" s="3"/>
      <c r="AJ279" s="5"/>
      <c r="AK279" s="2"/>
      <c r="AL279" s="7"/>
      <c r="AM279" s="8"/>
      <c r="AN279" s="56"/>
      <c r="AO279" s="9"/>
      <c r="AP279" s="5"/>
      <c r="AQ279" s="91"/>
      <c r="AR279" s="5"/>
      <c r="AS279" s="96"/>
      <c r="AT279" s="5"/>
      <c r="AU279" s="30"/>
      <c r="AV279" s="31"/>
      <c r="AW279" s="32"/>
      <c r="AX279" s="147"/>
      <c r="BN279" s="5"/>
      <c r="BO279">
        <f t="shared" si="84"/>
        <v>0.76676999999999995</v>
      </c>
      <c r="BP279">
        <f t="shared" si="80"/>
        <v>1.40754</v>
      </c>
      <c r="BQ279">
        <f t="shared" si="85"/>
        <v>0.98036000000000001</v>
      </c>
      <c r="BR279">
        <f t="shared" si="86"/>
        <v>0.55318000000000001</v>
      </c>
      <c r="BS279" s="28"/>
      <c r="BT279" s="91"/>
      <c r="BU279" s="28"/>
      <c r="BV279" s="91"/>
      <c r="BW279" s="4">
        <f t="shared" si="81"/>
        <v>326</v>
      </c>
    </row>
    <row r="280" spans="1:75" s="105" customFormat="1" thickTop="1" thickBot="1" x14ac:dyDescent="0.3">
      <c r="A280" s="4" t="s">
        <v>98</v>
      </c>
      <c r="B280" s="2">
        <v>35</v>
      </c>
      <c r="C280" s="2">
        <v>6</v>
      </c>
      <c r="D280" s="103"/>
      <c r="E280" s="104">
        <v>60</v>
      </c>
      <c r="F280" s="104">
        <v>-60</v>
      </c>
      <c r="G280" s="3">
        <f t="shared" si="89"/>
        <v>120</v>
      </c>
      <c r="H280" s="103"/>
      <c r="I280" s="2">
        <v>60</v>
      </c>
      <c r="J280" s="3">
        <f t="shared" si="87"/>
        <v>30.9375</v>
      </c>
      <c r="K280" s="6">
        <f t="shared" si="90"/>
        <v>186</v>
      </c>
      <c r="L280" s="5"/>
      <c r="M280" s="81" t="s">
        <v>103</v>
      </c>
      <c r="N280" s="5"/>
      <c r="O280" s="106">
        <v>0.122</v>
      </c>
      <c r="P280" s="107">
        <v>4.9000000000000002E-2</v>
      </c>
      <c r="Q280" s="103"/>
      <c r="R280" s="108">
        <v>120</v>
      </c>
      <c r="S280" s="109">
        <v>33</v>
      </c>
      <c r="T280" s="110">
        <v>800</v>
      </c>
      <c r="U280" s="103"/>
      <c r="V280" s="7">
        <v>354</v>
      </c>
      <c r="W280" s="74">
        <f>SQRT(0.1^2+0.1^2+1/V280)*100</f>
        <v>15.10789818507596</v>
      </c>
      <c r="X280" s="5"/>
      <c r="Y280" s="56">
        <v>380</v>
      </c>
      <c r="Z280" s="13">
        <f>SQRT(0.1^2+0.1^2+1/Y280)</f>
        <v>0.15043795713638372</v>
      </c>
      <c r="AB280" s="72">
        <v>70</v>
      </c>
      <c r="AC280" s="72">
        <v>70</v>
      </c>
      <c r="AD280" s="81">
        <f>(O277/O280+P277/P280+R277/R280+S277/S280+T277/T280)/5</f>
        <v>1.9144924825369791</v>
      </c>
      <c r="AE280" s="5" t="str">
        <f t="shared" si="83"/>
        <v>326_corr</v>
      </c>
      <c r="AF280" s="8">
        <f>(O280*AB280+O281*AB281+O282*AB282)/100</f>
        <v>0.11119999999999999</v>
      </c>
      <c r="AG280" s="56">
        <f>(P280*AC280+P281*AC281+P282*AC282)/100</f>
        <v>4.0300000000000002E-2</v>
      </c>
      <c r="AH280" s="3">
        <f>225-5.625*($B280-0.5)</f>
        <v>30.9375</v>
      </c>
      <c r="AI280">
        <f>K280</f>
        <v>186</v>
      </c>
      <c r="AJ280" s="5"/>
      <c r="AK280" s="2">
        <v>600</v>
      </c>
      <c r="AL280" s="7">
        <f t="shared" ref="AL280:AL311" si="91">AK280*R280*0.000001</f>
        <v>7.1999999999999995E-2</v>
      </c>
      <c r="AM280" s="8">
        <f t="shared" ref="AM280:AM311" si="92">O280-AL280</f>
        <v>0.05</v>
      </c>
      <c r="AN280" s="56">
        <f t="shared" ref="AN280:AN312" si="93">S280*AK280*0.000001</f>
        <v>1.9799999999999998E-2</v>
      </c>
      <c r="AO280" s="9">
        <f t="shared" ref="AO280:AO311" si="94">P280-AN280</f>
        <v>2.9200000000000004E-2</v>
      </c>
      <c r="AP280" s="5"/>
      <c r="AQ280" s="90">
        <f>($AB280*AM280+$AB281*AM281+$AB282*AM282)/100</f>
        <v>3.7139999999999999E-2</v>
      </c>
      <c r="AR280" s="5"/>
      <c r="AS280" s="95">
        <f>($AB280*AO280+$AB281*AO281+$AB282*AO282)/100</f>
        <v>2.1890000000000007E-2</v>
      </c>
      <c r="AT280" s="5"/>
      <c r="AU280" s="10">
        <f>($AB280*R280+$AB281*R281+$AB282*R282)/100</f>
        <v>117.8</v>
      </c>
      <c r="AV280" s="11">
        <f>($AB280*S280+$AB281*S281+$AB282*S282)/100</f>
        <v>29.6</v>
      </c>
      <c r="AW280" s="12">
        <f>($AB280*T280+$AB281*T281+$AB282*T282)/100</f>
        <v>860</v>
      </c>
      <c r="AX280" s="147">
        <f>($AB280*AK280+$AB281*AK281+$AB282*AK282)/100</f>
        <v>630</v>
      </c>
      <c r="BN280" s="5"/>
      <c r="BO280">
        <f t="shared" si="84"/>
        <v>0.41270000000000001</v>
      </c>
      <c r="BP280">
        <f t="shared" si="80"/>
        <v>0.77539999999999998</v>
      </c>
      <c r="BQ280">
        <f t="shared" si="85"/>
        <v>0.53360000000000007</v>
      </c>
      <c r="BR280">
        <f t="shared" si="86"/>
        <v>0.2918</v>
      </c>
      <c r="BS280" s="8">
        <f>($AB280*BO280+$AB281*BO281+$AB282*BO282)/100</f>
        <v>0.39319050000000005</v>
      </c>
      <c r="BT280" s="90">
        <f>($AB280*BP280+$AB281*BP281+$AB282*BP282)/100</f>
        <v>0.74924099999999993</v>
      </c>
      <c r="BU280" s="8">
        <f>($AB280*BQ280+$AB281*BQ281+$AB282*BQ282)/100</f>
        <v>0.51187400000000005</v>
      </c>
      <c r="BV280" s="90">
        <f>($AB280*BR280+$AB281*BR281+$AB282*BR282)/100</f>
        <v>0.274507</v>
      </c>
      <c r="BW280" s="4" t="str">
        <f t="shared" si="81"/>
        <v>326_corr</v>
      </c>
    </row>
    <row r="281" spans="1:75" s="105" customFormat="1" thickTop="1" thickBot="1" x14ac:dyDescent="0.3">
      <c r="A281" s="4" t="s">
        <v>98</v>
      </c>
      <c r="B281" s="93">
        <v>35</v>
      </c>
      <c r="C281" s="93">
        <v>6</v>
      </c>
      <c r="D281" s="103"/>
      <c r="E281" s="104">
        <v>60</v>
      </c>
      <c r="F281" s="104">
        <v>-60</v>
      </c>
      <c r="G281" s="3">
        <f t="shared" si="89"/>
        <v>120</v>
      </c>
      <c r="H281" s="103"/>
      <c r="I281" s="14">
        <v>10</v>
      </c>
      <c r="J281" s="3">
        <f t="shared" si="87"/>
        <v>33.28125</v>
      </c>
      <c r="K281" s="6">
        <f t="shared" si="90"/>
        <v>186</v>
      </c>
      <c r="L281" s="5"/>
      <c r="M281" s="81" t="s">
        <v>104</v>
      </c>
      <c r="N281" s="5"/>
      <c r="O281" s="106">
        <v>0.13</v>
      </c>
      <c r="P281" s="107">
        <v>1.7999999999999999E-2</v>
      </c>
      <c r="Q281" s="103"/>
      <c r="R281" s="108">
        <v>136</v>
      </c>
      <c r="S281" s="109">
        <v>23</v>
      </c>
      <c r="T281" s="110">
        <v>800</v>
      </c>
      <c r="U281" s="103"/>
      <c r="V281" s="7">
        <v>395</v>
      </c>
      <c r="W281" s="74">
        <f>SQRT(0.1^2+0.1^2+1/V281)*100</f>
        <v>15.010544816768062</v>
      </c>
      <c r="X281" s="5"/>
      <c r="Y281" s="56">
        <v>0</v>
      </c>
      <c r="Z281" s="13" t="e">
        <f>SQRT(0.1^2+0.1^2+1/Y281)</f>
        <v>#DIV/0!</v>
      </c>
      <c r="AB281">
        <v>10</v>
      </c>
      <c r="AC281">
        <v>10</v>
      </c>
      <c r="AD281" s="81">
        <f>(O278/O281+P278/P281+R278/R281+S278/S281+T278/T281)/5</f>
        <v>1.9446182263317815</v>
      </c>
      <c r="AE281" s="5" t="str">
        <f t="shared" si="83"/>
        <v>326_corr</v>
      </c>
      <c r="AF281" s="8"/>
      <c r="AG281" s="56"/>
      <c r="AH281" s="3"/>
      <c r="AI281"/>
      <c r="AJ281" s="5"/>
      <c r="AK281" s="2">
        <v>700</v>
      </c>
      <c r="AL281" s="7">
        <f t="shared" si="91"/>
        <v>9.5199999999999993E-2</v>
      </c>
      <c r="AM281" s="8">
        <f t="shared" si="92"/>
        <v>3.4800000000000011E-2</v>
      </c>
      <c r="AN281" s="56">
        <f t="shared" si="93"/>
        <v>1.61E-2</v>
      </c>
      <c r="AO281" s="9">
        <f t="shared" si="94"/>
        <v>1.8999999999999989E-3</v>
      </c>
      <c r="AP281" s="5"/>
      <c r="AQ281" s="90"/>
      <c r="AR281" s="5"/>
      <c r="AS281" s="95"/>
      <c r="AT281" s="5"/>
      <c r="AU281" s="10"/>
      <c r="AV281" s="11"/>
      <c r="AW281" s="12"/>
      <c r="AX281" s="147"/>
      <c r="BN281" s="5"/>
      <c r="BO281">
        <f t="shared" si="84"/>
        <v>0.44585999999999998</v>
      </c>
      <c r="BP281">
        <f t="shared" si="80"/>
        <v>0.85692000000000002</v>
      </c>
      <c r="BQ281">
        <f t="shared" si="85"/>
        <v>0.58288000000000006</v>
      </c>
      <c r="BR281">
        <f t="shared" si="86"/>
        <v>0.30884</v>
      </c>
      <c r="BS281" s="106"/>
      <c r="BT281" s="140"/>
      <c r="BU281" s="106"/>
      <c r="BV281" s="140"/>
      <c r="BW281" s="4" t="str">
        <f t="shared" si="81"/>
        <v>326_corr</v>
      </c>
    </row>
    <row r="282" spans="1:75" s="27" customFormat="1" thickTop="1" thickBot="1" x14ac:dyDescent="0.3">
      <c r="A282" s="21" t="s">
        <v>98</v>
      </c>
      <c r="B282" s="22">
        <v>35</v>
      </c>
      <c r="C282" s="22">
        <v>6</v>
      </c>
      <c r="D282" s="111"/>
      <c r="E282" s="24">
        <v>60</v>
      </c>
      <c r="F282" s="24">
        <v>-60</v>
      </c>
      <c r="G282" s="25">
        <f t="shared" si="89"/>
        <v>120</v>
      </c>
      <c r="H282" s="111"/>
      <c r="I282" s="22">
        <v>110</v>
      </c>
      <c r="J282" s="25">
        <f t="shared" si="87"/>
        <v>28.59375</v>
      </c>
      <c r="K282" s="26">
        <f t="shared" si="90"/>
        <v>186</v>
      </c>
      <c r="L282" s="23"/>
      <c r="M282" s="88" t="s">
        <v>105</v>
      </c>
      <c r="N282" s="23"/>
      <c r="O282" s="28">
        <v>6.4000000000000001E-2</v>
      </c>
      <c r="P282" s="29">
        <v>2.1000000000000001E-2</v>
      </c>
      <c r="Q282" s="111"/>
      <c r="R282" s="30">
        <v>101</v>
      </c>
      <c r="S282" s="31">
        <v>21</v>
      </c>
      <c r="T282" s="32">
        <v>1100</v>
      </c>
      <c r="U282" s="111"/>
      <c r="V282" s="33">
        <v>0</v>
      </c>
      <c r="W282" s="34" t="e">
        <f>SQRT(0.1^2+0.1^2+1/V282)*100</f>
        <v>#DIV/0!</v>
      </c>
      <c r="X282" s="5"/>
      <c r="Y282" s="55">
        <v>161</v>
      </c>
      <c r="Z282" s="34">
        <f>SQRT(0.1^2+0.1^2+1/Y282)</f>
        <v>0.16189867239796504</v>
      </c>
      <c r="AB282" s="27">
        <v>20</v>
      </c>
      <c r="AC282" s="27">
        <v>20</v>
      </c>
      <c r="AD282" s="88">
        <f>(O279/O282+P279/P282+R279/R282+S279/S282+T279/T282)/5</f>
        <v>1.8914740581200977</v>
      </c>
      <c r="AE282" s="5" t="str">
        <f t="shared" si="83"/>
        <v>326_corr</v>
      </c>
      <c r="AF282" s="28"/>
      <c r="AG282" s="55"/>
      <c r="AH282" s="3"/>
      <c r="AJ282" s="5"/>
      <c r="AK282" s="2">
        <v>700</v>
      </c>
      <c r="AL282" s="7">
        <f t="shared" si="91"/>
        <v>7.0699999999999999E-2</v>
      </c>
      <c r="AM282" s="8">
        <f t="shared" si="92"/>
        <v>-6.6999999999999976E-3</v>
      </c>
      <c r="AN282" s="56">
        <f t="shared" si="93"/>
        <v>1.47E-2</v>
      </c>
      <c r="AO282" s="9">
        <f t="shared" si="94"/>
        <v>6.3000000000000018E-3</v>
      </c>
      <c r="AP282" s="5"/>
      <c r="AQ282" s="91"/>
      <c r="AR282" s="5"/>
      <c r="AS282" s="96"/>
      <c r="AT282" s="5"/>
      <c r="AU282" s="30"/>
      <c r="AV282" s="31"/>
      <c r="AW282" s="32"/>
      <c r="AX282" s="147"/>
      <c r="BN282" s="23"/>
      <c r="BO282">
        <f t="shared" si="84"/>
        <v>0.29857250000000002</v>
      </c>
      <c r="BP282">
        <f t="shared" si="80"/>
        <v>0.60384499999999997</v>
      </c>
      <c r="BQ282">
        <f t="shared" si="85"/>
        <v>0.40033000000000002</v>
      </c>
      <c r="BR282">
        <f t="shared" si="86"/>
        <v>0.19681499999999999</v>
      </c>
      <c r="BS282" s="28"/>
      <c r="BT282" s="91"/>
      <c r="BU282" s="28"/>
      <c r="BV282" s="91"/>
      <c r="BW282" s="4" t="str">
        <f t="shared" si="81"/>
        <v>326_corr</v>
      </c>
    </row>
    <row r="283" spans="1:75" thickTop="1" thickBot="1" x14ac:dyDescent="0.3">
      <c r="A283" s="15">
        <v>336</v>
      </c>
      <c r="B283" s="16">
        <v>32</v>
      </c>
      <c r="C283" s="16">
        <v>6</v>
      </c>
      <c r="D283" s="17"/>
      <c r="E283" s="1">
        <v>62</v>
      </c>
      <c r="F283" s="1">
        <v>-60</v>
      </c>
      <c r="G283" s="18">
        <f t="shared" si="89"/>
        <v>122</v>
      </c>
      <c r="H283" s="17"/>
      <c r="I283" s="16">
        <v>61</v>
      </c>
      <c r="J283" s="18">
        <f t="shared" si="87"/>
        <v>47.8125</v>
      </c>
      <c r="K283" s="20">
        <f t="shared" si="90"/>
        <v>186</v>
      </c>
      <c r="L283" s="17"/>
      <c r="M283" s="80" t="s">
        <v>106</v>
      </c>
      <c r="N283" s="17"/>
      <c r="O283" s="112">
        <f>0.309/1.9</f>
        <v>0.16263157894736843</v>
      </c>
      <c r="P283" s="113">
        <f>0.078/1.9</f>
        <v>4.1052631578947368E-2</v>
      </c>
      <c r="Q283" s="17"/>
      <c r="R283" s="116">
        <f>265/1.9</f>
        <v>139.47368421052633</v>
      </c>
      <c r="S283" s="117">
        <f>62/1.9</f>
        <v>32.631578947368425</v>
      </c>
      <c r="T283" s="118">
        <f>1200/1.9</f>
        <v>631.57894736842104</v>
      </c>
      <c r="U283" s="17"/>
      <c r="V283" s="7">
        <v>0</v>
      </c>
      <c r="W283" s="74" t="e">
        <f t="shared" si="88"/>
        <v>#DIV/0!</v>
      </c>
      <c r="Y283" s="56">
        <v>408</v>
      </c>
      <c r="Z283" s="13">
        <f t="shared" si="82"/>
        <v>0.14983651221300123</v>
      </c>
      <c r="AB283" s="72">
        <v>80</v>
      </c>
      <c r="AC283" s="72">
        <v>80</v>
      </c>
      <c r="AD283" s="80" t="s">
        <v>100</v>
      </c>
      <c r="AE283" s="5">
        <f t="shared" si="83"/>
        <v>336</v>
      </c>
      <c r="AF283" s="8">
        <f>(O283*AB283+O284*AB284+O285*AB285)/100</f>
        <v>0.16178947368421054</v>
      </c>
      <c r="AG283" s="56">
        <f>(P283*AC283+P284*AC284+P285*AC285)/100</f>
        <v>4.0368421052631574E-2</v>
      </c>
      <c r="AH283" s="18">
        <f>225-5.625*($B283-0.5)</f>
        <v>47.8125</v>
      </c>
      <c r="AI283">
        <f>K283</f>
        <v>186</v>
      </c>
      <c r="AJ283" s="17"/>
      <c r="AK283" s="16">
        <v>1000</v>
      </c>
      <c r="AL283" s="7">
        <f t="shared" si="91"/>
        <v>0.13947368421052631</v>
      </c>
      <c r="AM283" s="8">
        <f t="shared" si="92"/>
        <v>2.3157894736842127E-2</v>
      </c>
      <c r="AN283" s="56">
        <f t="shared" si="93"/>
        <v>3.2631578947368421E-2</v>
      </c>
      <c r="AO283" s="9">
        <f t="shared" si="94"/>
        <v>8.4210526315789472E-3</v>
      </c>
      <c r="AP283" s="17"/>
      <c r="AQ283" s="90">
        <f>($AB283*AM283+$AB284*AM284+$AB285*AM285)/100</f>
        <v>2.9210526315789492E-2</v>
      </c>
      <c r="AR283" s="17"/>
      <c r="AS283" s="95">
        <f>($AB283*AO283+$AB284*AO284+$AB285*AO285)/100</f>
        <v>9.5789473684210532E-3</v>
      </c>
      <c r="AT283" s="17"/>
      <c r="AU283" s="10">
        <f>($AB283*R283+$AB284*R284+$AB285*R285)/100</f>
        <v>132.57894736842107</v>
      </c>
      <c r="AV283" s="11">
        <f>($AB283*S283+$AB284*S284+$AB285*S285)/100</f>
        <v>30.789473684210535</v>
      </c>
      <c r="AW283" s="12">
        <f>($AB283*T283+$AB284*T284+$AB285*T285)/100</f>
        <v>642.10526315789468</v>
      </c>
      <c r="AX283" s="147">
        <f>($AB283*AK283+$AB284*AK284+$AB285*AK285)/100</f>
        <v>1000</v>
      </c>
      <c r="BN283" s="17"/>
      <c r="BO283">
        <f t="shared" si="84"/>
        <v>0.44471710526315789</v>
      </c>
      <c r="BP283">
        <f t="shared" si="80"/>
        <v>0.86627631578947373</v>
      </c>
      <c r="BQ283">
        <f t="shared" si="85"/>
        <v>0.58523684210526317</v>
      </c>
      <c r="BR283">
        <f t="shared" si="86"/>
        <v>0.30419736842105261</v>
      </c>
      <c r="BS283" s="8">
        <f>($AB283*BO283+$AB284*BO284+$AB285*BO285)/100</f>
        <v>0.42993039473684214</v>
      </c>
      <c r="BT283" s="90">
        <f>($AB283*BP283+$AB284*BP284+$AB285*BP285)/100</f>
        <v>0.8306502631578947</v>
      </c>
      <c r="BU283" s="8">
        <f>($AB283*BQ283+$AB284*BQ284+$AB285*BQ285)/100</f>
        <v>0.56350368421052632</v>
      </c>
      <c r="BV283" s="90">
        <f>($AB283*BR283+$AB284*BR284+$AB285*BR285)/100</f>
        <v>0.29635710526315789</v>
      </c>
      <c r="BW283" s="4">
        <f t="shared" si="81"/>
        <v>336</v>
      </c>
    </row>
    <row r="284" spans="1:75" thickTop="1" thickBot="1" x14ac:dyDescent="0.3">
      <c r="A284" s="4">
        <v>336</v>
      </c>
      <c r="B284" s="93">
        <v>32</v>
      </c>
      <c r="C284" s="93">
        <v>6</v>
      </c>
      <c r="E284" s="1">
        <v>62</v>
      </c>
      <c r="F284" s="1">
        <v>-60</v>
      </c>
      <c r="G284" s="3">
        <f t="shared" si="89"/>
        <v>122</v>
      </c>
      <c r="I284" s="14">
        <v>10</v>
      </c>
      <c r="J284" s="3">
        <f t="shared" si="87"/>
        <v>50.163934426229503</v>
      </c>
      <c r="K284" s="6">
        <f t="shared" si="90"/>
        <v>186</v>
      </c>
      <c r="M284" s="80" t="s">
        <v>106</v>
      </c>
      <c r="O284" s="112">
        <f>0.351/1.9</f>
        <v>0.18473684210526314</v>
      </c>
      <c r="P284" s="113">
        <f>0.085/1.9</f>
        <v>4.4736842105263165E-2</v>
      </c>
      <c r="R284" s="116">
        <f>235/1.9</f>
        <v>123.68421052631579</v>
      </c>
      <c r="S284" s="117">
        <f>51/1.9</f>
        <v>26.842105263157897</v>
      </c>
      <c r="T284" s="118">
        <f>1500/1.9</f>
        <v>789.47368421052636</v>
      </c>
      <c r="V284" s="7">
        <v>619</v>
      </c>
      <c r="W284" s="74">
        <f t="shared" si="88"/>
        <v>14.702213739875663</v>
      </c>
      <c r="Y284" s="56">
        <v>447</v>
      </c>
      <c r="Z284" s="13">
        <f t="shared" si="82"/>
        <v>0.14912121400164494</v>
      </c>
      <c r="AB284">
        <v>10</v>
      </c>
      <c r="AC284">
        <v>10</v>
      </c>
      <c r="AD284" s="80" t="s">
        <v>100</v>
      </c>
      <c r="AE284" s="5">
        <f t="shared" si="83"/>
        <v>336</v>
      </c>
      <c r="AG284" s="56"/>
      <c r="AK284" s="2">
        <v>1000</v>
      </c>
      <c r="AL284" s="7">
        <f t="shared" si="91"/>
        <v>0.1236842105263158</v>
      </c>
      <c r="AM284" s="8">
        <f t="shared" si="92"/>
        <v>6.1052631578947344E-2</v>
      </c>
      <c r="AN284" s="56">
        <f t="shared" si="93"/>
        <v>2.6842105263157896E-2</v>
      </c>
      <c r="AO284" s="9">
        <f t="shared" si="94"/>
        <v>1.7894736842105269E-2</v>
      </c>
      <c r="AX284" s="147"/>
      <c r="BO284">
        <f t="shared" si="84"/>
        <v>0.43488815789473684</v>
      </c>
      <c r="BP284">
        <f t="shared" si="80"/>
        <v>0.80872368421052632</v>
      </c>
      <c r="BQ284">
        <f t="shared" si="85"/>
        <v>0.5595</v>
      </c>
      <c r="BR284">
        <f t="shared" si="86"/>
        <v>0.31027631578947368</v>
      </c>
      <c r="BS284" s="8"/>
      <c r="BT284" s="90"/>
      <c r="BU284" s="8"/>
      <c r="BV284" s="90"/>
      <c r="BW284" s="4">
        <f t="shared" si="81"/>
        <v>336</v>
      </c>
    </row>
    <row r="285" spans="1:75" s="27" customFormat="1" thickTop="1" thickBot="1" x14ac:dyDescent="0.3">
      <c r="A285" s="21">
        <v>336</v>
      </c>
      <c r="B285" s="22">
        <v>32</v>
      </c>
      <c r="C285" s="22">
        <v>6</v>
      </c>
      <c r="D285" s="23"/>
      <c r="E285" s="24">
        <v>62</v>
      </c>
      <c r="F285" s="24">
        <v>-60</v>
      </c>
      <c r="G285" s="25">
        <f t="shared" si="89"/>
        <v>122</v>
      </c>
      <c r="H285" s="23"/>
      <c r="I285" s="22">
        <v>112</v>
      </c>
      <c r="J285" s="3">
        <f t="shared" si="87"/>
        <v>45.461065573770497</v>
      </c>
      <c r="K285" s="26">
        <f t="shared" si="90"/>
        <v>186</v>
      </c>
      <c r="L285" s="23"/>
      <c r="M285" s="122" t="s">
        <v>106</v>
      </c>
      <c r="N285" s="23"/>
      <c r="O285" s="114">
        <f>0.251/1.9</f>
        <v>0.13210526315789475</v>
      </c>
      <c r="P285" s="115">
        <f>0.058/1.9</f>
        <v>3.0526315789473686E-2</v>
      </c>
      <c r="Q285" s="23"/>
      <c r="R285" s="119">
        <f>164/1.9</f>
        <v>86.31578947368422</v>
      </c>
      <c r="S285" s="120">
        <f>38/1.9</f>
        <v>20</v>
      </c>
      <c r="T285" s="121">
        <f>1100/1.9</f>
        <v>578.94736842105272</v>
      </c>
      <c r="U285" s="23"/>
      <c r="V285" s="33">
        <v>584</v>
      </c>
      <c r="W285" s="34">
        <f t="shared" si="88"/>
        <v>14.735103924683834</v>
      </c>
      <c r="X285" s="5"/>
      <c r="Y285" s="55">
        <v>422</v>
      </c>
      <c r="Z285" s="34">
        <f t="shared" si="82"/>
        <v>0.14956492986808606</v>
      </c>
      <c r="AB285" s="27">
        <v>10</v>
      </c>
      <c r="AC285" s="27">
        <v>10</v>
      </c>
      <c r="AD285" s="80" t="s">
        <v>100</v>
      </c>
      <c r="AE285" s="5">
        <f t="shared" si="83"/>
        <v>336</v>
      </c>
      <c r="AF285" s="28"/>
      <c r="AG285" s="55"/>
      <c r="AH285" s="3"/>
      <c r="AJ285" s="5"/>
      <c r="AK285" s="2">
        <v>1000</v>
      </c>
      <c r="AL285" s="7">
        <f t="shared" si="91"/>
        <v>8.6315789473684207E-2</v>
      </c>
      <c r="AM285" s="8">
        <f t="shared" si="92"/>
        <v>4.5789473684210547E-2</v>
      </c>
      <c r="AN285" s="56">
        <f t="shared" si="93"/>
        <v>0.02</v>
      </c>
      <c r="AO285" s="9">
        <f t="shared" si="94"/>
        <v>1.0526315789473686E-2</v>
      </c>
      <c r="AP285" s="5"/>
      <c r="AQ285" s="91"/>
      <c r="AR285" s="5"/>
      <c r="AS285" s="96"/>
      <c r="AT285" s="5"/>
      <c r="AU285" s="30"/>
      <c r="AV285" s="31"/>
      <c r="AW285" s="32"/>
      <c r="AX285" s="147"/>
      <c r="BN285" s="5"/>
      <c r="BO285">
        <f t="shared" si="84"/>
        <v>0.30667894736842105</v>
      </c>
      <c r="BP285">
        <f t="shared" si="80"/>
        <v>0.56756842105263161</v>
      </c>
      <c r="BQ285">
        <f t="shared" si="85"/>
        <v>0.3936421052631579</v>
      </c>
      <c r="BR285">
        <f t="shared" si="86"/>
        <v>0.21971578947368425</v>
      </c>
      <c r="BS285" s="28"/>
      <c r="BT285" s="91"/>
      <c r="BU285" s="28"/>
      <c r="BV285" s="91"/>
      <c r="BW285" s="4">
        <f t="shared" si="81"/>
        <v>336</v>
      </c>
    </row>
    <row r="286" spans="1:75" thickTop="1" thickBot="1" x14ac:dyDescent="0.3">
      <c r="A286" s="15">
        <v>376</v>
      </c>
      <c r="B286" s="16">
        <v>38</v>
      </c>
      <c r="C286" s="16">
        <v>6</v>
      </c>
      <c r="D286" s="17"/>
      <c r="E286" s="1">
        <v>64</v>
      </c>
      <c r="F286" s="1">
        <v>-57</v>
      </c>
      <c r="G286" s="18">
        <f t="shared" si="89"/>
        <v>121</v>
      </c>
      <c r="H286" s="17"/>
      <c r="I286" s="16">
        <v>61</v>
      </c>
      <c r="J286" s="3">
        <f t="shared" si="87"/>
        <v>14.03925619834709</v>
      </c>
      <c r="K286" s="20">
        <f t="shared" si="90"/>
        <v>186</v>
      </c>
      <c r="L286" s="17"/>
      <c r="M286" s="80" t="s">
        <v>106</v>
      </c>
      <c r="N286" s="17"/>
      <c r="O286" s="112">
        <f>1.493/1.9</f>
        <v>0.78578947368421059</v>
      </c>
      <c r="P286" s="113">
        <f>0.174/1.9</f>
        <v>9.1578947368421051E-2</v>
      </c>
      <c r="Q286" s="17"/>
      <c r="R286" s="116">
        <f>372/1.9</f>
        <v>195.78947368421055</v>
      </c>
      <c r="S286" s="117">
        <f>78/1.9</f>
        <v>41.05263157894737</v>
      </c>
      <c r="T286" s="118">
        <f>1400/1.9</f>
        <v>736.84210526315792</v>
      </c>
      <c r="U286" s="17"/>
      <c r="V286" s="7">
        <v>189</v>
      </c>
      <c r="W286" s="74">
        <f t="shared" si="88"/>
        <v>15.903146006688518</v>
      </c>
      <c r="Y286" s="56">
        <v>75</v>
      </c>
      <c r="Z286" s="13">
        <f t="shared" si="82"/>
        <v>0.18257418583505539</v>
      </c>
      <c r="AB286" s="72">
        <v>40</v>
      </c>
      <c r="AC286" s="72">
        <v>40</v>
      </c>
      <c r="AD286" s="80" t="s">
        <v>65</v>
      </c>
      <c r="AE286" s="5">
        <f t="shared" si="83"/>
        <v>376</v>
      </c>
      <c r="AF286" s="8">
        <f>(O286*AB286+O287*AB287+O288*AB288)/100</f>
        <v>0.71189473684210525</v>
      </c>
      <c r="AG286" s="56">
        <f>(P286*AC286+P287*AC287+P288*AC288)/100</f>
        <v>7.0789473684210527E-2</v>
      </c>
      <c r="AH286" s="3">
        <f>225-5.625*($B286-0.5)</f>
        <v>14.0625</v>
      </c>
      <c r="AI286">
        <f>K286</f>
        <v>186</v>
      </c>
      <c r="AK286" s="2">
        <v>1000</v>
      </c>
      <c r="AL286" s="7">
        <f t="shared" si="91"/>
        <v>0.19578947368421054</v>
      </c>
      <c r="AM286" s="8">
        <f t="shared" si="92"/>
        <v>0.59000000000000008</v>
      </c>
      <c r="AN286" s="56">
        <f t="shared" si="93"/>
        <v>4.1052631578947361E-2</v>
      </c>
      <c r="AO286" s="9">
        <f t="shared" si="94"/>
        <v>5.052631578947369E-2</v>
      </c>
      <c r="AQ286" s="90">
        <f>($AB286*AM286+$AB287*AM287+$AB288*AM288)/100</f>
        <v>0.55068421052631578</v>
      </c>
      <c r="AS286" s="95">
        <f>($AB286*AO286+$AB287*AO287+$AB288*AO288)/100</f>
        <v>4.4089473684210533E-2</v>
      </c>
      <c r="AU286" s="10">
        <f>($AB286*R286+$AB287*R287+$AB288*R288)/100</f>
        <v>196.73684210526318</v>
      </c>
      <c r="AV286" s="11">
        <f>($AB286*S286+$AB287*S287+$AB288*S288)/100</f>
        <v>31.105263157894736</v>
      </c>
      <c r="AW286" s="12">
        <f>($AB286*T286+$AB287*T287+$AB288*T288)/100</f>
        <v>578.94736842105272</v>
      </c>
      <c r="AX286" s="147">
        <f>($AB286*AK286+$AB287*AK287+$AB288*AK288)/100</f>
        <v>820</v>
      </c>
      <c r="BO286">
        <f t="shared" si="84"/>
        <v>1.1817736842105264</v>
      </c>
      <c r="BP286">
        <f t="shared" si="80"/>
        <v>1.773547368421053</v>
      </c>
      <c r="BQ286">
        <f t="shared" si="85"/>
        <v>1.3790315789473686</v>
      </c>
      <c r="BR286">
        <f t="shared" si="86"/>
        <v>0.98451578947368423</v>
      </c>
      <c r="BS286" s="8">
        <f>($AB286*BO286+$AB287*BO287+$AB288*BO288)/100</f>
        <v>1.1453213157894737</v>
      </c>
      <c r="BT286" s="90">
        <f>($AB286*BP286+$AB287*BP287+$AB288*BP288)/100</f>
        <v>1.7399584210526315</v>
      </c>
      <c r="BU286" s="8">
        <f>($AB286*BQ286+$AB287*BQ287+$AB288*BQ288)/100</f>
        <v>1.3435336842105263</v>
      </c>
      <c r="BV286" s="90">
        <f>($AB286*BR286+$AB287*BR287+$AB288*BR288)/100</f>
        <v>0.94710894736842111</v>
      </c>
      <c r="BW286" s="4">
        <f t="shared" si="81"/>
        <v>376</v>
      </c>
    </row>
    <row r="287" spans="1:75" thickTop="1" thickBot="1" x14ac:dyDescent="0.3">
      <c r="A287" s="4">
        <v>376</v>
      </c>
      <c r="B287" s="93">
        <v>38</v>
      </c>
      <c r="C287" s="93">
        <v>6</v>
      </c>
      <c r="E287" s="1">
        <v>64</v>
      </c>
      <c r="F287" s="1">
        <v>-57</v>
      </c>
      <c r="G287" s="3">
        <f t="shared" ref="G287:G324" si="95">E287-F287</f>
        <v>121</v>
      </c>
      <c r="I287" s="14">
        <v>10</v>
      </c>
      <c r="J287" s="3">
        <f t="shared" si="87"/>
        <v>16.410123966942137</v>
      </c>
      <c r="K287" s="6">
        <f t="shared" ref="K287:K324" si="96">120+12*(C287-0.5)</f>
        <v>186</v>
      </c>
      <c r="M287" s="80" t="s">
        <v>106</v>
      </c>
      <c r="O287" s="112">
        <f>0.664/1.9</f>
        <v>0.34947368421052633</v>
      </c>
      <c r="P287" s="113">
        <f>0.064/1.9</f>
        <v>3.3684210526315789E-2</v>
      </c>
      <c r="R287" s="116">
        <f>380/1.9</f>
        <v>200</v>
      </c>
      <c r="S287" s="117">
        <f>64/1.9</f>
        <v>33.684210526315788</v>
      </c>
      <c r="T287" s="118">
        <f>1400/1.9</f>
        <v>736.84210526315792</v>
      </c>
      <c r="V287" s="7">
        <v>134</v>
      </c>
      <c r="W287" s="74">
        <f t="shared" ref="W287:W324" si="97">SQRT(0.1^2+0.1^2+1/V287)*100</f>
        <v>16.571869709590462</v>
      </c>
      <c r="Y287" s="56">
        <v>39</v>
      </c>
      <c r="Z287" s="13">
        <f t="shared" ref="Z287:Z324" si="98">SQRT(0.1^2+0.1^2+1/Y287)</f>
        <v>0.21363760352762257</v>
      </c>
      <c r="AB287">
        <v>10</v>
      </c>
      <c r="AC287">
        <v>10</v>
      </c>
      <c r="AD287" s="80" t="s">
        <v>65</v>
      </c>
      <c r="AE287" s="5">
        <f t="shared" si="83"/>
        <v>376</v>
      </c>
      <c r="AG287" s="56"/>
      <c r="AK287" s="2">
        <v>700</v>
      </c>
      <c r="AL287" s="7">
        <f t="shared" si="91"/>
        <v>0.13999999999999999</v>
      </c>
      <c r="AM287" s="8">
        <f t="shared" si="92"/>
        <v>0.20947368421052634</v>
      </c>
      <c r="AN287" s="56">
        <f t="shared" si="93"/>
        <v>2.357894736842105E-2</v>
      </c>
      <c r="AO287" s="9">
        <f t="shared" si="94"/>
        <v>1.0105263157894739E-2</v>
      </c>
      <c r="AX287" s="147"/>
      <c r="BO287">
        <f t="shared" si="84"/>
        <v>0.81397368421052629</v>
      </c>
      <c r="BP287">
        <f t="shared" si="80"/>
        <v>1.4184736842105263</v>
      </c>
      <c r="BQ287">
        <f t="shared" si="85"/>
        <v>1.0154736842105263</v>
      </c>
      <c r="BR287">
        <f t="shared" si="86"/>
        <v>0.61247368421052628</v>
      </c>
      <c r="BS287" s="8"/>
      <c r="BT287" s="90"/>
      <c r="BU287" s="8"/>
      <c r="BV287" s="90"/>
      <c r="BW287" s="4">
        <f t="shared" si="81"/>
        <v>376</v>
      </c>
    </row>
    <row r="288" spans="1:75" s="27" customFormat="1" thickTop="1" thickBot="1" x14ac:dyDescent="0.3">
      <c r="A288" s="21">
        <v>376</v>
      </c>
      <c r="B288" s="22">
        <v>38</v>
      </c>
      <c r="C288" s="22">
        <v>6</v>
      </c>
      <c r="D288" s="23"/>
      <c r="E288" s="24">
        <v>64</v>
      </c>
      <c r="F288" s="24">
        <v>-57</v>
      </c>
      <c r="G288" s="25">
        <f t="shared" si="95"/>
        <v>121</v>
      </c>
      <c r="H288" s="23"/>
      <c r="I288" s="22">
        <v>111</v>
      </c>
      <c r="J288" s="3">
        <f t="shared" si="87"/>
        <v>11.714876033057863</v>
      </c>
      <c r="K288" s="26">
        <f t="shared" si="96"/>
        <v>186</v>
      </c>
      <c r="L288" s="23"/>
      <c r="M288" s="122" t="s">
        <v>106</v>
      </c>
      <c r="N288" s="23"/>
      <c r="O288" s="114">
        <f>1.378/1.9</f>
        <v>0.72526315789473683</v>
      </c>
      <c r="P288" s="115">
        <f>0.117/1.9</f>
        <v>6.1578947368421059E-2</v>
      </c>
      <c r="Q288" s="23"/>
      <c r="R288" s="119">
        <f>374/1.9</f>
        <v>196.84210526315789</v>
      </c>
      <c r="S288" s="120">
        <f>43/1.9</f>
        <v>22.631578947368421</v>
      </c>
      <c r="T288" s="121">
        <f>800/1.9</f>
        <v>421.0526315789474</v>
      </c>
      <c r="U288" s="23"/>
      <c r="V288" s="33">
        <v>1682</v>
      </c>
      <c r="W288" s="34">
        <f t="shared" si="97"/>
        <v>14.350794514955043</v>
      </c>
      <c r="X288" s="5"/>
      <c r="Y288" s="55">
        <v>459</v>
      </c>
      <c r="Z288" s="34">
        <f t="shared" si="98"/>
        <v>0.14892497855454864</v>
      </c>
      <c r="AB288" s="27">
        <v>50</v>
      </c>
      <c r="AC288" s="27">
        <v>50</v>
      </c>
      <c r="AD288" s="88"/>
      <c r="AE288" s="5">
        <f t="shared" si="83"/>
        <v>376</v>
      </c>
      <c r="AF288" s="28"/>
      <c r="AG288" s="55"/>
      <c r="AH288" s="3"/>
      <c r="AJ288" s="5"/>
      <c r="AK288" s="2">
        <v>700</v>
      </c>
      <c r="AL288" s="7">
        <f t="shared" si="91"/>
        <v>0.13778947368421052</v>
      </c>
      <c r="AM288" s="8">
        <f t="shared" si="92"/>
        <v>0.58747368421052637</v>
      </c>
      <c r="AN288" s="56">
        <f t="shared" si="93"/>
        <v>1.5842105263157893E-2</v>
      </c>
      <c r="AO288" s="9">
        <f t="shared" si="94"/>
        <v>4.5736842105263166E-2</v>
      </c>
      <c r="AP288" s="5"/>
      <c r="AQ288" s="91"/>
      <c r="AR288" s="5"/>
      <c r="AS288" s="96"/>
      <c r="AT288" s="5"/>
      <c r="AU288" s="30"/>
      <c r="AV288" s="31"/>
      <c r="AW288" s="32"/>
      <c r="AX288" s="147"/>
      <c r="BN288" s="5"/>
      <c r="BO288">
        <f t="shared" si="84"/>
        <v>1.1824289473684211</v>
      </c>
      <c r="BP288">
        <f t="shared" si="80"/>
        <v>1.7773842105263158</v>
      </c>
      <c r="BQ288">
        <f t="shared" si="85"/>
        <v>1.3807473684210527</v>
      </c>
      <c r="BR288">
        <f t="shared" si="86"/>
        <v>0.98411052631578944</v>
      </c>
      <c r="BS288" s="28"/>
      <c r="BT288" s="91"/>
      <c r="BU288" s="28"/>
      <c r="BV288" s="91"/>
      <c r="BW288" s="4">
        <f t="shared" si="81"/>
        <v>376</v>
      </c>
    </row>
    <row r="289" spans="1:75" thickTop="1" thickBot="1" x14ac:dyDescent="0.3">
      <c r="A289" s="15">
        <v>391</v>
      </c>
      <c r="B289" s="16">
        <v>40</v>
      </c>
      <c r="C289" s="16">
        <v>1</v>
      </c>
      <c r="D289" s="17"/>
      <c r="E289" s="1">
        <v>75</v>
      </c>
      <c r="F289" s="1">
        <v>-68</v>
      </c>
      <c r="G289" s="18">
        <f t="shared" si="95"/>
        <v>143</v>
      </c>
      <c r="H289" s="17"/>
      <c r="I289" s="16">
        <v>72</v>
      </c>
      <c r="J289" s="3">
        <f t="shared" si="87"/>
        <v>2.7928321678321595</v>
      </c>
      <c r="K289" s="20">
        <f t="shared" si="96"/>
        <v>126</v>
      </c>
      <c r="L289" s="17"/>
      <c r="N289" s="17"/>
      <c r="O289" s="8">
        <v>2.4430000000000001</v>
      </c>
      <c r="P289" s="9">
        <v>0.32400000000000001</v>
      </c>
      <c r="Q289" s="17"/>
      <c r="R289" s="10">
        <v>474</v>
      </c>
      <c r="S289" s="11">
        <v>91</v>
      </c>
      <c r="T289" s="12">
        <v>800</v>
      </c>
      <c r="U289" s="17"/>
      <c r="V289" s="7">
        <v>4503</v>
      </c>
      <c r="W289" s="74">
        <f t="shared" si="97"/>
        <v>14.220433950050088</v>
      </c>
      <c r="Y289" s="56">
        <v>2117</v>
      </c>
      <c r="Z289" s="13">
        <f t="shared" si="98"/>
        <v>0.14308167792015791</v>
      </c>
      <c r="AB289" s="72">
        <v>85</v>
      </c>
      <c r="AC289" s="72">
        <v>85</v>
      </c>
      <c r="AE289" s="5">
        <f t="shared" si="83"/>
        <v>391</v>
      </c>
      <c r="AF289" s="8">
        <f>(O289*AB289+O290*AB290+O291*AB291)/100</f>
        <v>2.2627999999999999</v>
      </c>
      <c r="AG289" s="56">
        <f>(P289*AC289+P290*AC290+P291*AC291)/100</f>
        <v>0.30940000000000001</v>
      </c>
      <c r="AH289" s="3">
        <f>225-5.625*($B289-0.5)</f>
        <v>2.8125</v>
      </c>
      <c r="AI289">
        <f>K289</f>
        <v>126</v>
      </c>
      <c r="AK289" s="2">
        <v>1000</v>
      </c>
      <c r="AL289" s="7">
        <f t="shared" si="91"/>
        <v>0.47399999999999998</v>
      </c>
      <c r="AM289" s="8">
        <f t="shared" si="92"/>
        <v>1.9690000000000001</v>
      </c>
      <c r="AN289" s="56">
        <f t="shared" si="93"/>
        <v>9.0999999999999998E-2</v>
      </c>
      <c r="AO289" s="9">
        <f t="shared" si="94"/>
        <v>0.23300000000000001</v>
      </c>
      <c r="AQ289" s="90">
        <f>($AB289*AM289+$AB290*AM290+$AB291*AM291)/100</f>
        <v>1.8228200000000001</v>
      </c>
      <c r="AS289" s="95">
        <f>($AB289*AO289+$AB290*AO290+$AB291*AO291)/100</f>
        <v>0.21999000000000002</v>
      </c>
      <c r="AU289" s="10">
        <f>($AB289*R289+$AB290*R290+$AB291*R291)/100</f>
        <v>460.7</v>
      </c>
      <c r="AV289" s="11">
        <f>($AB289*S289+$AB290*S290+$AB291*S291)/100</f>
        <v>93.95</v>
      </c>
      <c r="AW289" s="12">
        <f>($AB289*T289+$AB290*T290+$AB291*T291)/100</f>
        <v>805</v>
      </c>
      <c r="AX289" s="147">
        <f>($AB289*AK289+$AB290*AK290+$AB291*AK291)/100</f>
        <v>955</v>
      </c>
      <c r="BO289">
        <f t="shared" si="84"/>
        <v>3.4016649999999999</v>
      </c>
      <c r="BP289">
        <f t="shared" si="80"/>
        <v>4.8343299999999996</v>
      </c>
      <c r="BQ289">
        <f t="shared" si="85"/>
        <v>3.8792200000000001</v>
      </c>
      <c r="BR289">
        <f t="shared" si="86"/>
        <v>2.9241100000000002</v>
      </c>
      <c r="BS289" s="8">
        <f>($AB289*BO289+$AB290*BO290+$AB291*BO291)/100</f>
        <v>3.2152857500000001</v>
      </c>
      <c r="BT289" s="90">
        <f>($AB289*BP289+$AB290*BP290+$AB291*BP291)/100</f>
        <v>4.6077514999999991</v>
      </c>
      <c r="BU289" s="8">
        <f>($AB289*BQ289+$AB290*BQ290+$AB291*BQ291)/100</f>
        <v>3.6794410000000006</v>
      </c>
      <c r="BV289" s="90">
        <f>($AB289*BR289+$AB290*BR290+$AB291*BR291)/100</f>
        <v>2.7511304999999999</v>
      </c>
      <c r="BW289" s="4">
        <f t="shared" si="81"/>
        <v>391</v>
      </c>
    </row>
    <row r="290" spans="1:75" thickTop="1" thickBot="1" x14ac:dyDescent="0.3">
      <c r="A290" s="4">
        <v>391</v>
      </c>
      <c r="B290" s="93">
        <v>40</v>
      </c>
      <c r="C290" s="93">
        <v>1</v>
      </c>
      <c r="E290" s="1">
        <v>75</v>
      </c>
      <c r="F290" s="1">
        <v>-68</v>
      </c>
      <c r="G290" s="3">
        <f t="shared" si="95"/>
        <v>143</v>
      </c>
      <c r="I290" s="14">
        <v>10</v>
      </c>
      <c r="J290" s="3">
        <f t="shared" si="87"/>
        <v>5.2316433566433886</v>
      </c>
      <c r="K290" s="6">
        <f t="shared" si="96"/>
        <v>126</v>
      </c>
      <c r="O290" s="8">
        <v>0.91300000000000003</v>
      </c>
      <c r="P290" s="9">
        <v>0.06</v>
      </c>
      <c r="R290" s="10">
        <v>498</v>
      </c>
      <c r="S290" s="11">
        <v>96</v>
      </c>
      <c r="T290" s="12">
        <v>800</v>
      </c>
      <c r="V290" s="7">
        <v>1807</v>
      </c>
      <c r="W290" s="74">
        <f t="shared" si="97"/>
        <v>14.33645822060012</v>
      </c>
      <c r="Y290" s="56">
        <v>0</v>
      </c>
      <c r="Z290" s="13" t="e">
        <f t="shared" si="98"/>
        <v>#DIV/0!</v>
      </c>
      <c r="AB290">
        <v>10</v>
      </c>
      <c r="AC290">
        <v>10</v>
      </c>
      <c r="AE290" s="5">
        <f t="shared" si="83"/>
        <v>391</v>
      </c>
      <c r="AG290" s="56"/>
      <c r="AK290" s="2">
        <v>600</v>
      </c>
      <c r="AL290" s="7">
        <f t="shared" si="91"/>
        <v>0.29880000000000001</v>
      </c>
      <c r="AM290" s="8">
        <f t="shared" si="92"/>
        <v>0.61420000000000008</v>
      </c>
      <c r="AN290" s="56">
        <f t="shared" si="93"/>
        <v>5.7599999999999998E-2</v>
      </c>
      <c r="AO290" s="9">
        <f t="shared" si="94"/>
        <v>2.3999999999999994E-3</v>
      </c>
      <c r="AX290" s="147"/>
      <c r="BO290">
        <f t="shared" si="84"/>
        <v>2.119405</v>
      </c>
      <c r="BP290">
        <f t="shared" si="80"/>
        <v>3.6246099999999997</v>
      </c>
      <c r="BQ290">
        <f t="shared" si="85"/>
        <v>2.62114</v>
      </c>
      <c r="BR290">
        <f t="shared" si="86"/>
        <v>1.6176699999999999</v>
      </c>
      <c r="BS290" s="8"/>
      <c r="BT290" s="90"/>
      <c r="BU290" s="8"/>
      <c r="BV290" s="90"/>
      <c r="BW290" s="4">
        <f t="shared" si="81"/>
        <v>391</v>
      </c>
    </row>
    <row r="291" spans="1:75" s="27" customFormat="1" thickTop="1" thickBot="1" x14ac:dyDescent="0.3">
      <c r="A291" s="21">
        <v>391</v>
      </c>
      <c r="B291" s="22">
        <v>40</v>
      </c>
      <c r="C291" s="22">
        <v>1</v>
      </c>
      <c r="D291" s="23"/>
      <c r="E291" s="24">
        <v>75</v>
      </c>
      <c r="F291" s="24">
        <v>-68</v>
      </c>
      <c r="G291" s="25">
        <f t="shared" si="95"/>
        <v>143</v>
      </c>
      <c r="H291" s="23"/>
      <c r="I291" s="22">
        <v>133</v>
      </c>
      <c r="J291" s="3">
        <f t="shared" si="87"/>
        <v>0.39335664335661136</v>
      </c>
      <c r="K291" s="26">
        <f t="shared" si="96"/>
        <v>126</v>
      </c>
      <c r="L291" s="23"/>
      <c r="N291" s="23"/>
      <c r="O291" s="28">
        <v>1.899</v>
      </c>
      <c r="P291" s="29">
        <v>0.56000000000000005</v>
      </c>
      <c r="Q291" s="23"/>
      <c r="R291" s="30">
        <v>160</v>
      </c>
      <c r="S291" s="24">
        <v>140</v>
      </c>
      <c r="T291" s="32">
        <v>900</v>
      </c>
      <c r="U291" s="23"/>
      <c r="V291" s="33">
        <v>3463</v>
      </c>
      <c r="W291" s="34">
        <f t="shared" si="97"/>
        <v>14.243864280826044</v>
      </c>
      <c r="X291" s="5"/>
      <c r="Y291" s="55">
        <v>3811</v>
      </c>
      <c r="Z291" s="34">
        <f t="shared" si="98"/>
        <v>0.14234605129981917</v>
      </c>
      <c r="AB291" s="27">
        <v>5</v>
      </c>
      <c r="AC291" s="27">
        <v>5</v>
      </c>
      <c r="AE291" s="5">
        <f t="shared" si="83"/>
        <v>391</v>
      </c>
      <c r="AF291" s="28"/>
      <c r="AG291" s="55"/>
      <c r="AH291" s="3"/>
      <c r="AJ291" s="5"/>
      <c r="AK291" s="2">
        <v>900</v>
      </c>
      <c r="AL291" s="7">
        <f t="shared" si="91"/>
        <v>0.14399999999999999</v>
      </c>
      <c r="AM291" s="8">
        <f t="shared" si="92"/>
        <v>1.7550000000000001</v>
      </c>
      <c r="AN291" s="56">
        <f t="shared" si="93"/>
        <v>0.126</v>
      </c>
      <c r="AO291" s="9">
        <f t="shared" si="94"/>
        <v>0.43400000000000005</v>
      </c>
      <c r="AP291" s="5"/>
      <c r="AQ291" s="91"/>
      <c r="AR291" s="5"/>
      <c r="AS291" s="96"/>
      <c r="AT291" s="5"/>
      <c r="AU291" s="30"/>
      <c r="AV291" s="31"/>
      <c r="AW291" s="32"/>
      <c r="AX291" s="147"/>
      <c r="BN291" s="5"/>
      <c r="BO291">
        <f t="shared" si="84"/>
        <v>2.2385999999999999</v>
      </c>
      <c r="BP291">
        <f t="shared" si="80"/>
        <v>2.7222</v>
      </c>
      <c r="BQ291">
        <f t="shared" si="85"/>
        <v>2.3997999999999999</v>
      </c>
      <c r="BR291">
        <f t="shared" si="86"/>
        <v>2.0773999999999999</v>
      </c>
      <c r="BS291" s="28"/>
      <c r="BT291" s="91"/>
      <c r="BU291" s="28"/>
      <c r="BV291" s="91"/>
      <c r="BW291" s="4">
        <f t="shared" si="81"/>
        <v>391</v>
      </c>
    </row>
    <row r="292" spans="1:75" thickTop="1" thickBot="1" x14ac:dyDescent="0.3">
      <c r="A292" s="15">
        <v>392</v>
      </c>
      <c r="B292" s="16">
        <v>40</v>
      </c>
      <c r="C292" s="16">
        <v>2</v>
      </c>
      <c r="D292" s="17"/>
      <c r="E292" s="1">
        <v>68</v>
      </c>
      <c r="F292" s="1">
        <v>-67</v>
      </c>
      <c r="G292" s="18">
        <f t="shared" si="95"/>
        <v>135</v>
      </c>
      <c r="H292" s="17"/>
      <c r="I292" s="16">
        <v>68</v>
      </c>
      <c r="J292" s="3">
        <f t="shared" si="87"/>
        <v>2.7916666666666572</v>
      </c>
      <c r="K292" s="20">
        <f t="shared" si="96"/>
        <v>138</v>
      </c>
      <c r="L292" s="17"/>
      <c r="N292" s="17"/>
      <c r="O292" s="8">
        <v>0.34899999999999998</v>
      </c>
      <c r="P292" s="9">
        <v>0.09</v>
      </c>
      <c r="Q292" s="17"/>
      <c r="R292" s="10">
        <v>0</v>
      </c>
      <c r="S292" s="11">
        <v>167</v>
      </c>
      <c r="T292" s="12">
        <v>1200</v>
      </c>
      <c r="U292" s="17"/>
      <c r="V292" s="7">
        <v>725</v>
      </c>
      <c r="W292" s="74">
        <f t="shared" si="97"/>
        <v>14.621665549733926</v>
      </c>
      <c r="Y292" s="56">
        <v>0</v>
      </c>
      <c r="Z292" s="13" t="e">
        <f t="shared" si="98"/>
        <v>#DIV/0!</v>
      </c>
      <c r="AB292" s="72">
        <v>45</v>
      </c>
      <c r="AC292" s="72">
        <v>45</v>
      </c>
      <c r="AE292" s="5">
        <f t="shared" si="83"/>
        <v>392</v>
      </c>
      <c r="AF292" s="8">
        <f>(O292*AB292+O293*AB293+O294*AB294)/100</f>
        <v>0.68484999999999996</v>
      </c>
      <c r="AG292" s="56">
        <f>(P292*AC292+P293*AC293+P294*AC294)/100</f>
        <v>8.5199999999999998E-2</v>
      </c>
      <c r="AH292" s="3">
        <f>225-5.625*($B292-0.5)</f>
        <v>2.8125</v>
      </c>
      <c r="AI292">
        <f>K292</f>
        <v>138</v>
      </c>
      <c r="AK292" s="2">
        <v>600</v>
      </c>
      <c r="AL292" s="7">
        <f t="shared" si="91"/>
        <v>0</v>
      </c>
      <c r="AM292" s="8">
        <f t="shared" si="92"/>
        <v>0.34899999999999998</v>
      </c>
      <c r="AN292" s="56">
        <f t="shared" si="93"/>
        <v>0.1002</v>
      </c>
      <c r="AO292" s="9">
        <f t="shared" si="94"/>
        <v>-1.0200000000000001E-2</v>
      </c>
      <c r="AQ292" s="90">
        <f>($AB292*AM292+$AB293*AM293+$AB294*AM294)/100</f>
        <v>0.58333000000000002</v>
      </c>
      <c r="AS292" s="95">
        <f>($AB292*AO292+$AB293*AO293+$AB294*AO294)/100</f>
        <v>-1.9499999999999995E-3</v>
      </c>
      <c r="AU292" s="10">
        <f>($AB292*R292+$AB293*R293+$AB294*R294)/100</f>
        <v>135.6</v>
      </c>
      <c r="AV292" s="11">
        <f>($AB292*S292+$AB293*S293+$AB294*S294)/100</f>
        <v>131</v>
      </c>
      <c r="AW292" s="12">
        <f>($AB292*T292+$AB293*T293+$AB294*T294)/100</f>
        <v>1060</v>
      </c>
      <c r="AX292" s="147">
        <f>($AB292*AK292+$AB293*AK293+$AB294*AK294)/100</f>
        <v>690</v>
      </c>
      <c r="BO292">
        <f t="shared" si="84"/>
        <v>0.34899999999999998</v>
      </c>
      <c r="BP292">
        <f t="shared" si="80"/>
        <v>0.34899999999999998</v>
      </c>
      <c r="BQ292">
        <f t="shared" si="85"/>
        <v>0.34899999999999998</v>
      </c>
      <c r="BR292">
        <f t="shared" si="86"/>
        <v>0.34899999999999998</v>
      </c>
      <c r="BS292" s="8">
        <f>($AB292*BO292+$AB293*BO293+$AB294*BO294)/100</f>
        <v>0.99318099999999998</v>
      </c>
      <c r="BT292" s="90">
        <f>($AB292*BP292+$AB293*BP293+$AB294*BP294)/100</f>
        <v>1.4030320000000001</v>
      </c>
      <c r="BU292" s="8">
        <f>($AB292*BQ292+$AB293*BQ293+$AB294*BQ294)/100</f>
        <v>1.1297980000000001</v>
      </c>
      <c r="BV292" s="90">
        <f>($AB292*BR292+$AB293*BR293+$AB294*BR294)/100</f>
        <v>0.8565640000000001</v>
      </c>
      <c r="BW292" s="4">
        <f t="shared" si="81"/>
        <v>392</v>
      </c>
    </row>
    <row r="293" spans="1:75" thickTop="1" thickBot="1" x14ac:dyDescent="0.3">
      <c r="A293" s="4">
        <v>392</v>
      </c>
      <c r="B293" s="93">
        <v>40</v>
      </c>
      <c r="C293" s="93">
        <v>2</v>
      </c>
      <c r="E293" s="1">
        <v>68</v>
      </c>
      <c r="F293" s="1">
        <v>-67</v>
      </c>
      <c r="G293" s="3">
        <f t="shared" si="95"/>
        <v>135</v>
      </c>
      <c r="I293" s="14">
        <v>10</v>
      </c>
      <c r="J293" s="3">
        <f t="shared" si="87"/>
        <v>5.2083333333333144</v>
      </c>
      <c r="K293" s="6">
        <f t="shared" si="96"/>
        <v>138</v>
      </c>
      <c r="O293" s="8">
        <v>0.66100000000000003</v>
      </c>
      <c r="P293" s="9">
        <v>8.6999999999999994E-2</v>
      </c>
      <c r="R293" s="10">
        <v>348</v>
      </c>
      <c r="S293" s="11">
        <v>131</v>
      </c>
      <c r="T293" s="12">
        <v>700</v>
      </c>
      <c r="V293" s="7">
        <v>1544</v>
      </c>
      <c r="W293" s="74">
        <f t="shared" si="97"/>
        <v>14.369296570738035</v>
      </c>
      <c r="Y293" s="56">
        <v>0</v>
      </c>
      <c r="Z293" s="13" t="e">
        <f t="shared" si="98"/>
        <v>#DIV/0!</v>
      </c>
      <c r="AB293">
        <v>10</v>
      </c>
      <c r="AC293">
        <v>10</v>
      </c>
      <c r="AE293" s="5">
        <f t="shared" si="83"/>
        <v>392</v>
      </c>
      <c r="AG293" s="56"/>
      <c r="AK293" s="2">
        <v>600</v>
      </c>
      <c r="AL293" s="7">
        <f t="shared" si="91"/>
        <v>0.20879999999999999</v>
      </c>
      <c r="AM293" s="8">
        <f t="shared" si="92"/>
        <v>0.45220000000000005</v>
      </c>
      <c r="AN293" s="56">
        <f t="shared" si="93"/>
        <v>7.8600000000000003E-2</v>
      </c>
      <c r="AO293" s="9">
        <f t="shared" si="94"/>
        <v>8.3999999999999908E-3</v>
      </c>
      <c r="AX293" s="147"/>
      <c r="BO293">
        <f t="shared" si="84"/>
        <v>1.50403</v>
      </c>
      <c r="BP293">
        <f t="shared" si="80"/>
        <v>2.55586</v>
      </c>
      <c r="BQ293">
        <f t="shared" si="85"/>
        <v>1.8546400000000001</v>
      </c>
      <c r="BR293">
        <f t="shared" si="86"/>
        <v>1.1534200000000001</v>
      </c>
      <c r="BS293" s="8"/>
      <c r="BT293" s="90"/>
      <c r="BU293" s="8"/>
      <c r="BV293" s="90"/>
      <c r="BW293" s="4">
        <f t="shared" si="81"/>
        <v>392</v>
      </c>
    </row>
    <row r="294" spans="1:75" s="27" customFormat="1" thickTop="1" thickBot="1" x14ac:dyDescent="0.3">
      <c r="A294" s="21">
        <v>392</v>
      </c>
      <c r="B294" s="22">
        <v>40</v>
      </c>
      <c r="C294" s="22">
        <v>2</v>
      </c>
      <c r="D294" s="23"/>
      <c r="E294" s="24">
        <v>68</v>
      </c>
      <c r="F294" s="24">
        <v>-67</v>
      </c>
      <c r="G294" s="25">
        <f t="shared" si="95"/>
        <v>135</v>
      </c>
      <c r="H294" s="23"/>
      <c r="I294" s="22">
        <v>125</v>
      </c>
      <c r="J294" s="3">
        <f t="shared" si="87"/>
        <v>0.41666666666668561</v>
      </c>
      <c r="K294" s="26">
        <f t="shared" si="96"/>
        <v>138</v>
      </c>
      <c r="L294" s="23"/>
      <c r="N294" s="23"/>
      <c r="O294" s="28">
        <v>1.026</v>
      </c>
      <c r="P294" s="29">
        <v>0.08</v>
      </c>
      <c r="Q294" s="23"/>
      <c r="R294" s="30">
        <v>224</v>
      </c>
      <c r="S294" s="31">
        <v>95</v>
      </c>
      <c r="T294" s="32">
        <v>1000</v>
      </c>
      <c r="U294" s="23"/>
      <c r="V294" s="33">
        <v>2154</v>
      </c>
      <c r="W294" s="34">
        <f t="shared" si="97"/>
        <v>14.305332066536955</v>
      </c>
      <c r="X294" s="5"/>
      <c r="Y294" s="55">
        <v>0</v>
      </c>
      <c r="Z294" s="34" t="e">
        <f t="shared" si="98"/>
        <v>#DIV/0!</v>
      </c>
      <c r="AB294" s="27">
        <v>45</v>
      </c>
      <c r="AC294" s="27">
        <v>45</v>
      </c>
      <c r="AE294" s="5">
        <f t="shared" si="83"/>
        <v>392</v>
      </c>
      <c r="AF294" s="28"/>
      <c r="AG294" s="55"/>
      <c r="AH294" s="3"/>
      <c r="AJ294" s="5"/>
      <c r="AK294" s="2">
        <v>800</v>
      </c>
      <c r="AL294" s="7">
        <f t="shared" si="91"/>
        <v>0.1792</v>
      </c>
      <c r="AM294" s="8">
        <f t="shared" si="92"/>
        <v>0.8468</v>
      </c>
      <c r="AN294" s="56">
        <f t="shared" si="93"/>
        <v>7.5999999999999998E-2</v>
      </c>
      <c r="AO294" s="9">
        <f t="shared" si="94"/>
        <v>4.0000000000000036E-3</v>
      </c>
      <c r="AP294" s="5"/>
      <c r="AQ294" s="91"/>
      <c r="AR294" s="5"/>
      <c r="AS294" s="96"/>
      <c r="AT294" s="5"/>
      <c r="AU294" s="30"/>
      <c r="AV294" s="31"/>
      <c r="AW294" s="32"/>
      <c r="AX294" s="147"/>
      <c r="BN294" s="5"/>
      <c r="BO294">
        <f t="shared" si="84"/>
        <v>1.5238400000000001</v>
      </c>
      <c r="BP294">
        <f t="shared" si="80"/>
        <v>2.2008799999999997</v>
      </c>
      <c r="BQ294">
        <f t="shared" si="85"/>
        <v>1.74952</v>
      </c>
      <c r="BR294">
        <f t="shared" si="86"/>
        <v>1.29816</v>
      </c>
      <c r="BS294" s="28"/>
      <c r="BT294" s="91"/>
      <c r="BU294" s="28"/>
      <c r="BV294" s="91"/>
      <c r="BW294" s="4">
        <f t="shared" si="81"/>
        <v>392</v>
      </c>
    </row>
    <row r="295" spans="1:75" thickTop="1" thickBot="1" x14ac:dyDescent="0.3">
      <c r="A295" s="15">
        <v>393</v>
      </c>
      <c r="B295" s="16">
        <v>40</v>
      </c>
      <c r="C295" s="16">
        <v>3</v>
      </c>
      <c r="D295" s="17"/>
      <c r="E295" s="1">
        <v>68</v>
      </c>
      <c r="F295" s="1">
        <v>-61</v>
      </c>
      <c r="G295" s="18">
        <f t="shared" si="95"/>
        <v>129</v>
      </c>
      <c r="H295" s="17"/>
      <c r="I295" s="16">
        <v>65</v>
      </c>
      <c r="J295" s="3">
        <f t="shared" si="87"/>
        <v>2.7906976744185954</v>
      </c>
      <c r="K295" s="20">
        <f t="shared" si="96"/>
        <v>150</v>
      </c>
      <c r="L295" s="17"/>
      <c r="N295" s="17"/>
      <c r="O295" s="8">
        <v>0.435</v>
      </c>
      <c r="P295" s="9">
        <v>9.8000000000000004E-2</v>
      </c>
      <c r="Q295" s="17"/>
      <c r="R295" s="10">
        <v>149</v>
      </c>
      <c r="S295" s="11">
        <v>80</v>
      </c>
      <c r="T295" s="12">
        <v>700</v>
      </c>
      <c r="U295" s="17"/>
      <c r="V295" s="7">
        <v>689</v>
      </c>
      <c r="W295" s="74">
        <f t="shared" si="97"/>
        <v>14.646289226240681</v>
      </c>
      <c r="Y295" s="56">
        <v>486</v>
      </c>
      <c r="Z295" s="13">
        <f t="shared" si="98"/>
        <v>0.14851805670935869</v>
      </c>
      <c r="AB295" s="72">
        <v>80</v>
      </c>
      <c r="AC295" s="72">
        <v>80</v>
      </c>
      <c r="AE295" s="5">
        <f t="shared" si="83"/>
        <v>393</v>
      </c>
      <c r="AF295" s="8">
        <f>(O295*AB295+O296*AB296+O297*AB297)/100</f>
        <v>0.42819999999999991</v>
      </c>
      <c r="AG295" s="56">
        <f>(P295*AC295+P296*AC296+P297*AC297)/100</f>
        <v>9.8599999999999993E-2</v>
      </c>
      <c r="AH295" s="3">
        <f>225-5.625*($B295-0.5)</f>
        <v>2.8125</v>
      </c>
      <c r="AI295">
        <f>K295</f>
        <v>150</v>
      </c>
      <c r="AK295" s="2">
        <v>600</v>
      </c>
      <c r="AL295" s="7">
        <f t="shared" si="91"/>
        <v>8.9399999999999993E-2</v>
      </c>
      <c r="AM295" s="8">
        <f t="shared" si="92"/>
        <v>0.34560000000000002</v>
      </c>
      <c r="AN295" s="56">
        <f t="shared" si="93"/>
        <v>4.8000000000000001E-2</v>
      </c>
      <c r="AO295" s="9">
        <f t="shared" si="94"/>
        <v>0.05</v>
      </c>
      <c r="AQ295" s="90">
        <f>($AB295*AM295+$AB296*AM296+$AB297*AM297)/100</f>
        <v>0.33520000000000005</v>
      </c>
      <c r="AS295" s="95">
        <f>($AB295*AO295+$AB296*AO296+$AB297*AO297)/100</f>
        <v>4.8079999999999998E-2</v>
      </c>
      <c r="AU295" s="10">
        <f>($AB295*R295+$AB296*R296+$AB297*R297)/100</f>
        <v>155</v>
      </c>
      <c r="AV295" s="11">
        <f>($AB295*S295+$AB296*S296+$AB297*S297)/100</f>
        <v>84.2</v>
      </c>
      <c r="AW295" s="12">
        <f>($AB295*T295+$AB296*T296+$AB297*T297)/100</f>
        <v>910</v>
      </c>
      <c r="AX295" s="147">
        <f>($AB295*AK295+$AB296*AK296+$AB297*AK297)/100</f>
        <v>600</v>
      </c>
      <c r="BO295">
        <f t="shared" si="84"/>
        <v>0.79595250000000006</v>
      </c>
      <c r="BP295">
        <f t="shared" si="80"/>
        <v>1.246305</v>
      </c>
      <c r="BQ295">
        <f t="shared" si="85"/>
        <v>0.94606999999999997</v>
      </c>
      <c r="BR295">
        <f t="shared" si="86"/>
        <v>0.64583499999999994</v>
      </c>
      <c r="BS295" s="8">
        <f>($AB295*BO295+$AB296*BO296+$AB297*BO297)/100</f>
        <v>0.80368750000000011</v>
      </c>
      <c r="BT295" s="90">
        <f>($AB295*BP295+$AB296*BP296+$AB297*BP297)/100</f>
        <v>1.2721749999999998</v>
      </c>
      <c r="BU295" s="8">
        <f>($AB295*BQ295+$AB296*BQ296+$AB297*BQ297)/100</f>
        <v>0.95984999999999998</v>
      </c>
      <c r="BV295" s="90">
        <f>($AB295*BR295+$AB296*BR296+$AB297*BR297)/100</f>
        <v>0.64752500000000002</v>
      </c>
      <c r="BW295" s="4">
        <f t="shared" si="81"/>
        <v>393</v>
      </c>
    </row>
    <row r="296" spans="1:75" thickTop="1" thickBot="1" x14ac:dyDescent="0.3">
      <c r="A296" s="4">
        <v>393</v>
      </c>
      <c r="B296" s="93">
        <v>40</v>
      </c>
      <c r="C296" s="93">
        <v>3</v>
      </c>
      <c r="E296" s="1">
        <v>68</v>
      </c>
      <c r="F296" s="1">
        <v>-61</v>
      </c>
      <c r="G296" s="3">
        <f t="shared" si="95"/>
        <v>129</v>
      </c>
      <c r="I296" s="14">
        <v>10</v>
      </c>
      <c r="J296" s="3">
        <f t="shared" si="87"/>
        <v>5.1889534883721069</v>
      </c>
      <c r="K296" s="6">
        <f t="shared" si="96"/>
        <v>150</v>
      </c>
      <c r="O296" s="8">
        <v>0.46200000000000002</v>
      </c>
      <c r="P296" s="9">
        <v>0.109</v>
      </c>
      <c r="R296" s="10">
        <v>161</v>
      </c>
      <c r="S296" s="11">
        <v>87</v>
      </c>
      <c r="T296" s="12">
        <v>2000</v>
      </c>
      <c r="V296" s="7">
        <v>822</v>
      </c>
      <c r="W296" s="74">
        <f t="shared" si="97"/>
        <v>14.565900250985331</v>
      </c>
      <c r="Y296" s="56">
        <v>677</v>
      </c>
      <c r="Z296" s="13">
        <f t="shared" si="98"/>
        <v>0.1465506904604891</v>
      </c>
      <c r="AB296">
        <v>10</v>
      </c>
      <c r="AC296">
        <v>10</v>
      </c>
      <c r="AE296" s="5">
        <f t="shared" si="83"/>
        <v>393</v>
      </c>
      <c r="AG296" s="56"/>
      <c r="AK296" s="2">
        <v>600</v>
      </c>
      <c r="AL296" s="7">
        <f t="shared" si="91"/>
        <v>9.6599999999999991E-2</v>
      </c>
      <c r="AM296" s="8">
        <f t="shared" si="92"/>
        <v>0.36540000000000006</v>
      </c>
      <c r="AN296" s="56">
        <f t="shared" si="93"/>
        <v>5.2199999999999996E-2</v>
      </c>
      <c r="AO296" s="9">
        <f t="shared" si="94"/>
        <v>5.6800000000000003E-2</v>
      </c>
      <c r="AX296" s="147"/>
      <c r="BO296">
        <f t="shared" si="84"/>
        <v>0.85202250000000002</v>
      </c>
      <c r="BP296">
        <f t="shared" si="80"/>
        <v>1.3386450000000001</v>
      </c>
      <c r="BQ296">
        <f t="shared" si="85"/>
        <v>1.01423</v>
      </c>
      <c r="BR296">
        <f t="shared" si="86"/>
        <v>0.68981500000000007</v>
      </c>
      <c r="BS296" s="8"/>
      <c r="BT296" s="90"/>
      <c r="BU296" s="8"/>
      <c r="BV296" s="90"/>
      <c r="BW296" s="4">
        <f t="shared" si="81"/>
        <v>393</v>
      </c>
    </row>
    <row r="297" spans="1:75" s="27" customFormat="1" thickTop="1" thickBot="1" x14ac:dyDescent="0.3">
      <c r="A297" s="21">
        <v>393</v>
      </c>
      <c r="B297" s="22">
        <v>40</v>
      </c>
      <c r="C297" s="22">
        <v>3</v>
      </c>
      <c r="D297" s="23"/>
      <c r="E297" s="24">
        <v>68</v>
      </c>
      <c r="F297" s="24">
        <v>-61</v>
      </c>
      <c r="G297" s="25">
        <f t="shared" si="95"/>
        <v>129</v>
      </c>
      <c r="H297" s="23"/>
      <c r="I297" s="22">
        <v>119</v>
      </c>
      <c r="J297" s="3">
        <f t="shared" si="87"/>
        <v>0.4360465116278931</v>
      </c>
      <c r="K297" s="26">
        <f t="shared" si="96"/>
        <v>150</v>
      </c>
      <c r="L297" s="23"/>
      <c r="N297" s="23"/>
      <c r="O297" s="28">
        <v>0.34</v>
      </c>
      <c r="P297" s="29">
        <v>9.2999999999999999E-2</v>
      </c>
      <c r="Q297" s="23"/>
      <c r="R297" s="30">
        <v>197</v>
      </c>
      <c r="S297" s="31">
        <v>115</v>
      </c>
      <c r="T297" s="32">
        <v>1500</v>
      </c>
      <c r="U297" s="23"/>
      <c r="V297" s="33">
        <v>744</v>
      </c>
      <c r="W297" s="34">
        <f t="shared" si="97"/>
        <v>14.609615334260303</v>
      </c>
      <c r="X297" s="5"/>
      <c r="Y297" s="55">
        <v>763</v>
      </c>
      <c r="Z297" s="34">
        <f t="shared" si="98"/>
        <v>0.14598156044348573</v>
      </c>
      <c r="AB297" s="27">
        <v>10</v>
      </c>
      <c r="AC297" s="27">
        <v>10</v>
      </c>
      <c r="AE297" s="5">
        <f t="shared" si="83"/>
        <v>393</v>
      </c>
      <c r="AF297" s="28"/>
      <c r="AG297" s="55"/>
      <c r="AH297" s="3"/>
      <c r="AJ297" s="5"/>
      <c r="AK297" s="2">
        <v>600</v>
      </c>
      <c r="AL297" s="7">
        <f t="shared" si="91"/>
        <v>0.1182</v>
      </c>
      <c r="AM297" s="8">
        <f t="shared" si="92"/>
        <v>0.22180000000000002</v>
      </c>
      <c r="AN297" s="56">
        <f t="shared" si="93"/>
        <v>6.8999999999999992E-2</v>
      </c>
      <c r="AO297" s="9">
        <f t="shared" si="94"/>
        <v>2.4000000000000007E-2</v>
      </c>
      <c r="AP297" s="5"/>
      <c r="AQ297" s="91"/>
      <c r="AR297" s="5"/>
      <c r="AS297" s="96"/>
      <c r="AT297" s="5"/>
      <c r="AU297" s="30"/>
      <c r="AV297" s="31"/>
      <c r="AW297" s="32"/>
      <c r="AX297" s="147"/>
      <c r="BN297" s="5"/>
      <c r="BO297">
        <f t="shared" si="84"/>
        <v>0.81723250000000003</v>
      </c>
      <c r="BP297">
        <f t="shared" si="80"/>
        <v>1.4126650000000001</v>
      </c>
      <c r="BQ297">
        <f t="shared" si="85"/>
        <v>1.0157100000000001</v>
      </c>
      <c r="BR297">
        <f t="shared" si="86"/>
        <v>0.61875499999999994</v>
      </c>
      <c r="BS297" s="28"/>
      <c r="BT297" s="91"/>
      <c r="BU297" s="28"/>
      <c r="BV297" s="91"/>
      <c r="BW297" s="4">
        <f t="shared" si="81"/>
        <v>393</v>
      </c>
    </row>
    <row r="298" spans="1:75" thickTop="1" thickBot="1" x14ac:dyDescent="0.3">
      <c r="A298" s="15">
        <v>394</v>
      </c>
      <c r="B298" s="16">
        <v>40</v>
      </c>
      <c r="C298" s="16">
        <v>4</v>
      </c>
      <c r="D298" s="17"/>
      <c r="E298" s="1">
        <v>68</v>
      </c>
      <c r="F298" s="1">
        <v>-59</v>
      </c>
      <c r="G298" s="18">
        <f t="shared" si="95"/>
        <v>127</v>
      </c>
      <c r="H298" s="17"/>
      <c r="I298" s="16">
        <v>58</v>
      </c>
      <c r="J298" s="3">
        <f t="shared" si="87"/>
        <v>3.0561023622047117</v>
      </c>
      <c r="K298" s="20">
        <f t="shared" si="96"/>
        <v>162</v>
      </c>
      <c r="L298" s="17"/>
      <c r="N298" s="17"/>
      <c r="O298" s="8">
        <v>0.36899999999999999</v>
      </c>
      <c r="P298" s="9">
        <v>4.3999999999999997E-2</v>
      </c>
      <c r="Q298" s="17"/>
      <c r="R298" s="10">
        <v>138</v>
      </c>
      <c r="S298" s="11">
        <v>57</v>
      </c>
      <c r="T298" s="12">
        <v>800</v>
      </c>
      <c r="U298" s="17"/>
      <c r="V298" s="7">
        <v>704</v>
      </c>
      <c r="W298" s="74">
        <f t="shared" si="97"/>
        <v>14.635728388247218</v>
      </c>
      <c r="Y298" s="56">
        <v>310</v>
      </c>
      <c r="Z298" s="13">
        <f t="shared" si="98"/>
        <v>0.15240015240022861</v>
      </c>
      <c r="AB298" s="72">
        <v>85</v>
      </c>
      <c r="AC298" s="72">
        <v>85</v>
      </c>
      <c r="AE298" s="5">
        <f t="shared" si="83"/>
        <v>394</v>
      </c>
      <c r="AF298" s="8">
        <f>(O298*AB298+O299*AB299+O300*AB300)/100</f>
        <v>0.38874999999999998</v>
      </c>
      <c r="AG298" s="56">
        <f>(P298*AC298+P299*AC299+P300*AC300)/100</f>
        <v>4.5400000000000003E-2</v>
      </c>
      <c r="AH298" s="3">
        <f>225-5.625*($B298-0.5)</f>
        <v>2.8125</v>
      </c>
      <c r="AI298">
        <f>K298</f>
        <v>162</v>
      </c>
      <c r="AK298" s="2">
        <v>600</v>
      </c>
      <c r="AL298" s="7">
        <f t="shared" si="91"/>
        <v>8.2799999999999999E-2</v>
      </c>
      <c r="AM298" s="8">
        <f t="shared" si="92"/>
        <v>0.28620000000000001</v>
      </c>
      <c r="AN298" s="56">
        <f t="shared" si="93"/>
        <v>3.4200000000000001E-2</v>
      </c>
      <c r="AO298" s="9">
        <f t="shared" si="94"/>
        <v>9.7999999999999962E-3</v>
      </c>
      <c r="AQ298" s="90">
        <f>($AB298*AM298+$AB299*AM299+$AB300*AM300)/100</f>
        <v>0.29086000000000001</v>
      </c>
      <c r="AS298" s="95">
        <f>($AB298*AO298+$AB299*AO299+$AB300*AO300)/100</f>
        <v>8.9699999999999953E-3</v>
      </c>
      <c r="AU298" s="10">
        <f>($AB298*R298+$AB299*R299+$AB300*R300)/100</f>
        <v>152.75</v>
      </c>
      <c r="AV298" s="11">
        <f>($AB298*S298+$AB299*S299+$AB300*S300)/100</f>
        <v>58.15</v>
      </c>
      <c r="AW298" s="12">
        <f>($AB298*T298+$AB299*T299+$AB300*T300)/100</f>
        <v>855</v>
      </c>
      <c r="AX298" s="147">
        <f>($AB298*AK298+$AB299*AK299+$AB300*AK300)/100</f>
        <v>620</v>
      </c>
      <c r="BO298">
        <f t="shared" si="84"/>
        <v>0.70330500000000007</v>
      </c>
      <c r="BP298">
        <f t="shared" si="80"/>
        <v>1.1204100000000001</v>
      </c>
      <c r="BQ298">
        <f t="shared" si="85"/>
        <v>0.84233999999999998</v>
      </c>
      <c r="BR298">
        <f t="shared" si="86"/>
        <v>0.56427000000000005</v>
      </c>
      <c r="BS298" s="8">
        <f>($AB298*BO298+$AB299*BO299+$AB300*BO300)/100</f>
        <v>0.75254687500000006</v>
      </c>
      <c r="BT298" s="90">
        <f>($AB298*BP298+$AB299*BP299+$AB300*BP300)/100</f>
        <v>1.21423375</v>
      </c>
      <c r="BU298" s="8">
        <f>($AB298*BQ298+$AB299*BQ299+$AB300*BQ300)/100</f>
        <v>0.90644250000000004</v>
      </c>
      <c r="BV298" s="90">
        <f>($AB298*BR298+$AB299*BR299+$AB300*BR300)/100</f>
        <v>0.59865125000000008</v>
      </c>
      <c r="BW298" s="4">
        <f t="shared" si="81"/>
        <v>394</v>
      </c>
    </row>
    <row r="299" spans="1:75" thickTop="1" thickBot="1" x14ac:dyDescent="0.3">
      <c r="A299" s="4">
        <v>394</v>
      </c>
      <c r="B299" s="93">
        <v>40</v>
      </c>
      <c r="C299" s="93">
        <v>4</v>
      </c>
      <c r="E299" s="1">
        <v>68</v>
      </c>
      <c r="F299" s="1">
        <v>-59</v>
      </c>
      <c r="G299" s="3">
        <f t="shared" si="95"/>
        <v>127</v>
      </c>
      <c r="I299" s="14">
        <v>10</v>
      </c>
      <c r="J299" s="3">
        <f t="shared" si="87"/>
        <v>5.1820866141732154</v>
      </c>
      <c r="K299" s="6">
        <f t="shared" si="96"/>
        <v>162</v>
      </c>
      <c r="O299" s="8">
        <v>0.39800000000000002</v>
      </c>
      <c r="P299" s="9">
        <v>3.7999999999999999E-2</v>
      </c>
      <c r="R299" s="10">
        <v>85</v>
      </c>
      <c r="S299" s="11">
        <v>40</v>
      </c>
      <c r="T299" s="12">
        <v>600</v>
      </c>
      <c r="V299" s="7">
        <v>775</v>
      </c>
      <c r="W299" s="74">
        <f t="shared" si="97"/>
        <v>14.591203713417602</v>
      </c>
      <c r="Y299" s="56">
        <v>268</v>
      </c>
      <c r="Z299" s="13">
        <f t="shared" si="98"/>
        <v>0.15404980780118518</v>
      </c>
      <c r="AB299">
        <v>5</v>
      </c>
      <c r="AC299">
        <v>5</v>
      </c>
      <c r="AE299" s="5">
        <f t="shared" si="83"/>
        <v>394</v>
      </c>
      <c r="AG299" s="56"/>
      <c r="AK299" s="2">
        <v>600</v>
      </c>
      <c r="AL299" s="7">
        <f t="shared" si="91"/>
        <v>5.0999999999999997E-2</v>
      </c>
      <c r="AM299" s="8">
        <f t="shared" si="92"/>
        <v>0.34700000000000003</v>
      </c>
      <c r="AN299" s="56">
        <f t="shared" si="93"/>
        <v>2.4E-2</v>
      </c>
      <c r="AO299" s="9">
        <f t="shared" si="94"/>
        <v>1.3999999999999999E-2</v>
      </c>
      <c r="AX299" s="147"/>
      <c r="BO299">
        <f t="shared" si="84"/>
        <v>0.60391250000000007</v>
      </c>
      <c r="BP299">
        <f t="shared" si="80"/>
        <v>0.86082499999999995</v>
      </c>
      <c r="BQ299">
        <f t="shared" si="85"/>
        <v>0.68955</v>
      </c>
      <c r="BR299">
        <f t="shared" si="86"/>
        <v>0.51827500000000004</v>
      </c>
      <c r="BS299" s="8"/>
      <c r="BT299" s="90"/>
      <c r="BU299" s="8"/>
      <c r="BV299" s="90"/>
      <c r="BW299" s="4">
        <f t="shared" si="81"/>
        <v>394</v>
      </c>
    </row>
    <row r="300" spans="1:75" s="27" customFormat="1" thickTop="1" thickBot="1" x14ac:dyDescent="0.3">
      <c r="A300" s="21">
        <v>394</v>
      </c>
      <c r="B300" s="22">
        <v>40</v>
      </c>
      <c r="C300" s="22">
        <v>4</v>
      </c>
      <c r="D300" s="23"/>
      <c r="E300" s="24">
        <v>68</v>
      </c>
      <c r="F300" s="24">
        <v>-59</v>
      </c>
      <c r="G300" s="25">
        <f t="shared" si="95"/>
        <v>127</v>
      </c>
      <c r="H300" s="23"/>
      <c r="I300" s="22">
        <v>117</v>
      </c>
      <c r="J300" s="3">
        <f t="shared" si="87"/>
        <v>0.44291338582678463</v>
      </c>
      <c r="K300" s="26">
        <f t="shared" si="96"/>
        <v>162</v>
      </c>
      <c r="L300" s="23"/>
      <c r="N300" s="23"/>
      <c r="O300" s="28">
        <v>0.55200000000000005</v>
      </c>
      <c r="P300" s="29">
        <v>6.0999999999999999E-2</v>
      </c>
      <c r="Q300" s="23"/>
      <c r="R300" s="30">
        <v>312</v>
      </c>
      <c r="S300" s="31">
        <v>77</v>
      </c>
      <c r="T300" s="32">
        <v>1450</v>
      </c>
      <c r="U300" s="23"/>
      <c r="V300" s="33">
        <v>1251</v>
      </c>
      <c r="W300" s="34">
        <f t="shared" si="97"/>
        <v>14.421983397435573</v>
      </c>
      <c r="X300" s="5"/>
      <c r="Y300" s="55">
        <v>0</v>
      </c>
      <c r="Z300" s="34" t="e">
        <f t="shared" si="98"/>
        <v>#DIV/0!</v>
      </c>
      <c r="AB300" s="27">
        <v>10</v>
      </c>
      <c r="AC300" s="27">
        <v>10</v>
      </c>
      <c r="AE300" s="5">
        <f t="shared" si="83"/>
        <v>394</v>
      </c>
      <c r="AF300" s="28"/>
      <c r="AG300" s="55"/>
      <c r="AH300" s="3"/>
      <c r="AJ300" s="5"/>
      <c r="AK300" s="2">
        <v>800</v>
      </c>
      <c r="AL300" s="7">
        <f t="shared" si="91"/>
        <v>0.24959999999999999</v>
      </c>
      <c r="AM300" s="8">
        <f t="shared" si="92"/>
        <v>0.30240000000000006</v>
      </c>
      <c r="AN300" s="56">
        <f t="shared" si="93"/>
        <v>6.1599999999999995E-2</v>
      </c>
      <c r="AO300" s="9">
        <f t="shared" si="94"/>
        <v>-5.9999999999999637E-4</v>
      </c>
      <c r="AP300" s="5"/>
      <c r="AQ300" s="91"/>
      <c r="AR300" s="5"/>
      <c r="AS300" s="96"/>
      <c r="AT300" s="5"/>
      <c r="AU300" s="30"/>
      <c r="AV300" s="31"/>
      <c r="AW300" s="32"/>
      <c r="AX300" s="147"/>
      <c r="BN300" s="5"/>
      <c r="BO300">
        <f t="shared" si="84"/>
        <v>1.2454200000000002</v>
      </c>
      <c r="BP300">
        <f t="shared" si="80"/>
        <v>2.1884399999999999</v>
      </c>
      <c r="BQ300">
        <f t="shared" si="85"/>
        <v>1.55976</v>
      </c>
      <c r="BR300">
        <f t="shared" si="86"/>
        <v>0.93108000000000002</v>
      </c>
      <c r="BS300" s="28"/>
      <c r="BT300" s="91"/>
      <c r="BU300" s="28"/>
      <c r="BV300" s="91"/>
      <c r="BW300" s="4">
        <f t="shared" si="81"/>
        <v>394</v>
      </c>
    </row>
    <row r="301" spans="1:75" thickTop="1" thickBot="1" x14ac:dyDescent="0.3">
      <c r="A301" s="15">
        <v>395</v>
      </c>
      <c r="B301" s="16">
        <v>40</v>
      </c>
      <c r="C301" s="16">
        <v>5</v>
      </c>
      <c r="D301" s="17"/>
      <c r="E301" s="1">
        <v>63</v>
      </c>
      <c r="F301" s="1">
        <v>-59</v>
      </c>
      <c r="G301" s="18">
        <f t="shared" si="95"/>
        <v>122</v>
      </c>
      <c r="H301" s="17"/>
      <c r="I301" s="16">
        <v>61</v>
      </c>
      <c r="J301" s="3">
        <f t="shared" si="87"/>
        <v>2.8125</v>
      </c>
      <c r="K301" s="20">
        <f t="shared" si="96"/>
        <v>174</v>
      </c>
      <c r="L301" s="17"/>
      <c r="N301" s="17"/>
      <c r="O301" s="8">
        <v>0.57199999999999995</v>
      </c>
      <c r="P301" s="9">
        <v>0.1</v>
      </c>
      <c r="Q301" s="17"/>
      <c r="R301" s="10">
        <v>287</v>
      </c>
      <c r="S301" s="11">
        <v>80</v>
      </c>
      <c r="T301" s="12">
        <v>1450</v>
      </c>
      <c r="U301" s="17"/>
      <c r="V301" s="7">
        <v>1545</v>
      </c>
      <c r="W301" s="74">
        <f t="shared" si="97"/>
        <v>14.369150702438372</v>
      </c>
      <c r="Y301" s="56">
        <v>740</v>
      </c>
      <c r="Z301" s="13">
        <f t="shared" si="98"/>
        <v>0.14612101611798131</v>
      </c>
      <c r="AB301" s="72">
        <v>85</v>
      </c>
      <c r="AC301" s="72">
        <v>85</v>
      </c>
      <c r="AD301" s="1" t="s">
        <v>66</v>
      </c>
      <c r="AE301" s="5">
        <f t="shared" si="83"/>
        <v>395</v>
      </c>
      <c r="AF301" s="8">
        <f>(O301*AB301+O302*AB302+O303*AB303)/100</f>
        <v>0.54804999999999993</v>
      </c>
      <c r="AG301" s="56">
        <f>(P301*AC301+P302*AC302+P303*AC303)/100</f>
        <v>9.1350000000000001E-2</v>
      </c>
      <c r="AH301" s="3">
        <f>225-5.625*($B301-0.5)</f>
        <v>2.8125</v>
      </c>
      <c r="AI301">
        <f>K301</f>
        <v>174</v>
      </c>
      <c r="AK301" s="2">
        <v>900</v>
      </c>
      <c r="AL301" s="7">
        <f t="shared" si="91"/>
        <v>0.25829999999999997</v>
      </c>
      <c r="AM301" s="8">
        <f t="shared" si="92"/>
        <v>0.31369999999999998</v>
      </c>
      <c r="AN301" s="56">
        <f t="shared" si="93"/>
        <v>7.1999999999999995E-2</v>
      </c>
      <c r="AO301" s="9">
        <f t="shared" si="94"/>
        <v>2.8000000000000011E-2</v>
      </c>
      <c r="AQ301" s="90">
        <f>($AB301*AM301+$AB302*AM302+$AB303*AM303)/100</f>
        <v>0.31790499999999999</v>
      </c>
      <c r="AS301" s="95">
        <f>($AB301*AO301+$AB302*AO302+$AB303*AO303)/100</f>
        <v>2.607000000000001E-2</v>
      </c>
      <c r="AU301" s="10">
        <f>($AB301*R301+$AB302*R302+$AB303*R303)/100</f>
        <v>261.60000000000002</v>
      </c>
      <c r="AV301" s="11">
        <f>($AB301*S301+$AB302*S302+$AB303*S303)/100</f>
        <v>74.8</v>
      </c>
      <c r="AW301" s="12">
        <f>($AB301*T301+$AB302*T302+$AB303*T303)/100</f>
        <v>1342.5</v>
      </c>
      <c r="AX301" s="147">
        <f>($AB301*AK301+$AB302*AK302+$AB303*AK303)/100</f>
        <v>855</v>
      </c>
      <c r="BO301">
        <f t="shared" si="84"/>
        <v>1.1811574999999999</v>
      </c>
      <c r="BP301">
        <f t="shared" si="80"/>
        <v>2.0486149999999999</v>
      </c>
      <c r="BQ301">
        <f t="shared" si="85"/>
        <v>1.47031</v>
      </c>
      <c r="BR301">
        <f t="shared" si="86"/>
        <v>0.89200499999999994</v>
      </c>
      <c r="BS301" s="8">
        <f>($AB301*BO301+$AB302*BO302+$AB303*BO303)/100</f>
        <v>1.1085909999999999</v>
      </c>
      <c r="BT301" s="90">
        <f>($AB301*BP301+$AB302*BP302+$AB303*BP303)/100</f>
        <v>1.8992770000000001</v>
      </c>
      <c r="BU301" s="8">
        <f>($AB301*BQ301+$AB302*BQ302+$AB303*BQ303)/100</f>
        <v>1.3721530000000002</v>
      </c>
      <c r="BV301" s="90">
        <f>($AB301*BR301+$AB302*BR302+$AB303*BR303)/100</f>
        <v>0.84502899999999992</v>
      </c>
      <c r="BW301" s="4">
        <f t="shared" si="81"/>
        <v>395</v>
      </c>
    </row>
    <row r="302" spans="1:75" thickTop="1" thickBot="1" x14ac:dyDescent="0.3">
      <c r="A302" s="4">
        <v>395</v>
      </c>
      <c r="B302" s="93">
        <v>40</v>
      </c>
      <c r="C302" s="93">
        <v>5</v>
      </c>
      <c r="E302" s="1">
        <v>63</v>
      </c>
      <c r="F302" s="1">
        <v>-59</v>
      </c>
      <c r="G302" s="3">
        <f t="shared" si="95"/>
        <v>122</v>
      </c>
      <c r="I302" s="14">
        <v>10</v>
      </c>
      <c r="J302" s="3">
        <f t="shared" si="87"/>
        <v>5.163934426229531</v>
      </c>
      <c r="K302" s="6">
        <f t="shared" si="96"/>
        <v>174</v>
      </c>
      <c r="O302" s="8">
        <v>0.26300000000000001</v>
      </c>
      <c r="P302" s="9">
        <v>2.7E-2</v>
      </c>
      <c r="R302" s="10">
        <v>121</v>
      </c>
      <c r="S302" s="11">
        <v>40</v>
      </c>
      <c r="T302" s="12">
        <v>900</v>
      </c>
      <c r="V302" s="7">
        <v>586</v>
      </c>
      <c r="W302" s="74">
        <f t="shared" si="97"/>
        <v>14.733120729037086</v>
      </c>
      <c r="Y302" s="56">
        <v>0</v>
      </c>
      <c r="Z302" s="13" t="e">
        <f t="shared" si="98"/>
        <v>#DIV/0!</v>
      </c>
      <c r="AB302">
        <v>5</v>
      </c>
      <c r="AC302">
        <v>5</v>
      </c>
      <c r="AE302" s="5">
        <f t="shared" si="83"/>
        <v>395</v>
      </c>
      <c r="AG302" s="56"/>
      <c r="AK302" s="2">
        <v>600</v>
      </c>
      <c r="AL302" s="7">
        <f t="shared" si="91"/>
        <v>7.2599999999999998E-2</v>
      </c>
      <c r="AM302" s="8">
        <f t="shared" si="92"/>
        <v>0.19040000000000001</v>
      </c>
      <c r="AN302" s="56">
        <f t="shared" si="93"/>
        <v>2.4E-2</v>
      </c>
      <c r="AO302" s="9">
        <f t="shared" si="94"/>
        <v>2.9999999999999992E-3</v>
      </c>
      <c r="AX302" s="147"/>
      <c r="BO302">
        <f t="shared" si="84"/>
        <v>0.55612250000000008</v>
      </c>
      <c r="BP302">
        <f t="shared" si="80"/>
        <v>0.92184500000000003</v>
      </c>
      <c r="BQ302">
        <f t="shared" si="85"/>
        <v>0.67803000000000002</v>
      </c>
      <c r="BR302">
        <f t="shared" si="86"/>
        <v>0.43421500000000002</v>
      </c>
      <c r="BS302" s="8"/>
      <c r="BT302" s="90"/>
      <c r="BU302" s="8"/>
      <c r="BV302" s="90"/>
      <c r="BW302" s="4">
        <f t="shared" si="81"/>
        <v>395</v>
      </c>
    </row>
    <row r="303" spans="1:75" s="27" customFormat="1" thickTop="1" thickBot="1" x14ac:dyDescent="0.3">
      <c r="A303" s="21">
        <v>395</v>
      </c>
      <c r="B303" s="22">
        <v>40</v>
      </c>
      <c r="C303" s="22">
        <v>5</v>
      </c>
      <c r="D303" s="23"/>
      <c r="E303" s="24">
        <v>63</v>
      </c>
      <c r="F303" s="24">
        <v>-59</v>
      </c>
      <c r="G303" s="25">
        <f t="shared" si="95"/>
        <v>122</v>
      </c>
      <c r="H303" s="23"/>
      <c r="I303" s="22">
        <v>112</v>
      </c>
      <c r="J303" s="3">
        <f t="shared" si="87"/>
        <v>0.46106557377046897</v>
      </c>
      <c r="K303" s="26">
        <f t="shared" si="96"/>
        <v>174</v>
      </c>
      <c r="L303" s="23"/>
      <c r="N303" s="23"/>
      <c r="O303" s="28">
        <v>0.48699999999999999</v>
      </c>
      <c r="P303" s="29">
        <v>0.05</v>
      </c>
      <c r="Q303" s="23"/>
      <c r="R303" s="30">
        <v>116</v>
      </c>
      <c r="S303" s="31">
        <v>48</v>
      </c>
      <c r="T303" s="32">
        <v>650</v>
      </c>
      <c r="U303" s="23"/>
      <c r="V303" s="33">
        <v>1014</v>
      </c>
      <c r="W303" s="34">
        <f t="shared" si="97"/>
        <v>14.486612196744138</v>
      </c>
      <c r="X303" s="5"/>
      <c r="Y303" s="55">
        <v>343</v>
      </c>
      <c r="Z303" s="34">
        <f t="shared" si="98"/>
        <v>0.15137850539308326</v>
      </c>
      <c r="AB303" s="27">
        <v>10</v>
      </c>
      <c r="AC303" s="27">
        <v>10</v>
      </c>
      <c r="AE303" s="5">
        <f t="shared" si="83"/>
        <v>395</v>
      </c>
      <c r="AF303" s="28"/>
      <c r="AG303" s="55"/>
      <c r="AH303" s="3"/>
      <c r="AJ303" s="5"/>
      <c r="AK303" s="2">
        <v>600</v>
      </c>
      <c r="AL303" s="7">
        <f t="shared" si="91"/>
        <v>6.9599999999999995E-2</v>
      </c>
      <c r="AM303" s="8">
        <f t="shared" si="92"/>
        <v>0.41739999999999999</v>
      </c>
      <c r="AN303" s="56">
        <f t="shared" si="93"/>
        <v>2.8799999999999999E-2</v>
      </c>
      <c r="AO303" s="9">
        <f t="shared" si="94"/>
        <v>2.1200000000000004E-2</v>
      </c>
      <c r="AP303" s="5"/>
      <c r="AQ303" s="91"/>
      <c r="AR303" s="5"/>
      <c r="AS303" s="96"/>
      <c r="AT303" s="5"/>
      <c r="AU303" s="30"/>
      <c r="AV303" s="31"/>
      <c r="AW303" s="32"/>
      <c r="AX303" s="147"/>
      <c r="BN303" s="5"/>
      <c r="BO303">
        <f t="shared" si="84"/>
        <v>0.76800999999999997</v>
      </c>
      <c r="BP303">
        <f t="shared" si="80"/>
        <v>1.1186199999999999</v>
      </c>
      <c r="BQ303">
        <f t="shared" si="85"/>
        <v>0.88488</v>
      </c>
      <c r="BR303">
        <f t="shared" si="86"/>
        <v>0.65114000000000005</v>
      </c>
      <c r="BS303" s="28"/>
      <c r="BT303" s="91"/>
      <c r="BU303" s="28"/>
      <c r="BV303" s="91"/>
      <c r="BW303" s="4">
        <f t="shared" si="81"/>
        <v>395</v>
      </c>
    </row>
    <row r="304" spans="1:75" thickTop="1" thickBot="1" x14ac:dyDescent="0.3">
      <c r="A304" s="4">
        <v>397</v>
      </c>
      <c r="B304" s="16">
        <v>40</v>
      </c>
      <c r="C304" s="16">
        <v>7</v>
      </c>
      <c r="D304" s="17"/>
      <c r="E304" s="1">
        <v>66</v>
      </c>
      <c r="F304" s="1">
        <v>-59</v>
      </c>
      <c r="G304" s="18">
        <f t="shared" si="95"/>
        <v>125</v>
      </c>
      <c r="H304" s="17"/>
      <c r="I304" s="16">
        <v>62</v>
      </c>
      <c r="J304" s="3">
        <f>225-5.625*(B304-0.5-(I304-0.5*G304)/G304)</f>
        <v>2.7900000000000205</v>
      </c>
      <c r="K304" s="20">
        <f t="shared" si="96"/>
        <v>198</v>
      </c>
      <c r="L304" s="17"/>
      <c r="N304" s="17"/>
      <c r="O304" s="8">
        <v>1.427</v>
      </c>
      <c r="P304" s="9">
        <v>0.13600000000000001</v>
      </c>
      <c r="Q304" s="17"/>
      <c r="R304" s="10">
        <v>567</v>
      </c>
      <c r="S304" s="11">
        <v>82</v>
      </c>
      <c r="T304" s="12">
        <v>1100</v>
      </c>
      <c r="U304" s="17"/>
      <c r="V304" s="7">
        <v>2259</v>
      </c>
      <c r="W304" s="74">
        <f t="shared" si="97"/>
        <v>14.297787853177379</v>
      </c>
      <c r="Y304" s="56">
        <v>604</v>
      </c>
      <c r="Z304" s="13">
        <f t="shared" si="98"/>
        <v>0.14715851704564317</v>
      </c>
      <c r="AB304" s="72">
        <v>65</v>
      </c>
      <c r="AC304" s="72">
        <v>65</v>
      </c>
      <c r="AD304" s="1" t="s">
        <v>67</v>
      </c>
      <c r="AE304" s="5">
        <f t="shared" si="83"/>
        <v>397</v>
      </c>
      <c r="AF304" s="8">
        <f>(O304*AB304+O305*AB305+O306*AB306)/100</f>
        <v>1.0345000000000002</v>
      </c>
      <c r="AG304" s="56">
        <f>(P304*AC304+P305*AC305+P306*AC306)/100</f>
        <v>0.1018</v>
      </c>
      <c r="AH304" s="3">
        <f>225-5.625*($B304-0.5)</f>
        <v>2.8125</v>
      </c>
      <c r="AI304">
        <f>K304</f>
        <v>198</v>
      </c>
      <c r="AK304" s="2">
        <v>1200</v>
      </c>
      <c r="AL304" s="7">
        <f t="shared" si="91"/>
        <v>0.6804</v>
      </c>
      <c r="AM304" s="8">
        <f t="shared" si="92"/>
        <v>0.74660000000000004</v>
      </c>
      <c r="AN304" s="56">
        <f t="shared" si="93"/>
        <v>9.8400000000000001E-2</v>
      </c>
      <c r="AO304" s="9">
        <f t="shared" si="94"/>
        <v>3.7600000000000008E-2</v>
      </c>
      <c r="AQ304" s="90">
        <f>($AB304*AM304+$AB305*AM305+$AB306*AM306)/100</f>
        <v>0.56303999999999998</v>
      </c>
      <c r="AS304" s="95">
        <f>($AB304*AO304+$AB305*AO305+$AB306*AO306)/100</f>
        <v>3.0940000000000002E-2</v>
      </c>
      <c r="AU304" s="10">
        <f>($AB304*R304+$AB305*R305+$AB306*R306)/100</f>
        <v>412.1</v>
      </c>
      <c r="AV304" s="11">
        <f>($AB304*S304+$AB305*S305+$AB306*S306)/100</f>
        <v>63.5</v>
      </c>
      <c r="AW304" s="12">
        <f>($AB304*T304+$AB305*T305+$AB306*T306)/100</f>
        <v>965</v>
      </c>
      <c r="AX304" s="147">
        <f>($AB304*AK304+$AB305*AK305+$AB306*AK306)/100</f>
        <v>1000</v>
      </c>
      <c r="BO304">
        <f t="shared" si="84"/>
        <v>2.4603574999999998</v>
      </c>
      <c r="BP304">
        <f t="shared" si="80"/>
        <v>4.1741150000000005</v>
      </c>
      <c r="BQ304">
        <f t="shared" si="85"/>
        <v>3.0316100000000001</v>
      </c>
      <c r="BR304">
        <f t="shared" si="86"/>
        <v>1.889105</v>
      </c>
      <c r="BS304" s="8">
        <f>($AB304*BO304+$AB305*BO305+$AB306*BO306)/100</f>
        <v>1.8086122499999997</v>
      </c>
      <c r="BT304" s="90">
        <f>($AB304*BP304+$AB305*BP305+$AB306*BP306)/100</f>
        <v>3.0541845000000007</v>
      </c>
      <c r="BU304" s="8">
        <f>($AB304*BQ304+$AB305*BQ305+$AB306*BQ306)/100</f>
        <v>2.2238030000000002</v>
      </c>
      <c r="BV304" s="90">
        <f>($AB304*BR304+$AB305*BR305+$AB306*BR306)/100</f>
        <v>1.3934215000000001</v>
      </c>
      <c r="BW304" s="4">
        <f t="shared" si="81"/>
        <v>397</v>
      </c>
    </row>
    <row r="305" spans="1:75" thickTop="1" thickBot="1" x14ac:dyDescent="0.3">
      <c r="A305" s="4">
        <v>397</v>
      </c>
      <c r="B305" s="93">
        <v>40</v>
      </c>
      <c r="C305" s="93">
        <v>7</v>
      </c>
      <c r="E305" s="1">
        <v>66</v>
      </c>
      <c r="F305" s="1">
        <v>-59</v>
      </c>
      <c r="G305" s="3">
        <f t="shared" si="95"/>
        <v>125</v>
      </c>
      <c r="I305" s="83">
        <v>10</v>
      </c>
      <c r="J305" s="3">
        <f>225-5.625*(B305-0.5-(I305-0.5*G305)/G305)</f>
        <v>0.44999999999998863</v>
      </c>
      <c r="K305" s="6">
        <f t="shared" si="96"/>
        <v>198</v>
      </c>
      <c r="O305" s="8">
        <v>0.32100000000000001</v>
      </c>
      <c r="P305" s="9">
        <v>6.4000000000000001E-2</v>
      </c>
      <c r="R305" s="10">
        <v>307</v>
      </c>
      <c r="S305" s="11">
        <v>78</v>
      </c>
      <c r="T305" s="12">
        <v>3500</v>
      </c>
      <c r="V305" s="7">
        <v>0</v>
      </c>
      <c r="W305" s="74" t="e">
        <f t="shared" si="97"/>
        <v>#DIV/0!</v>
      </c>
      <c r="Y305" s="56">
        <v>0</v>
      </c>
      <c r="Z305" s="13" t="e">
        <f t="shared" si="98"/>
        <v>#DIV/0!</v>
      </c>
      <c r="AB305">
        <v>5</v>
      </c>
      <c r="AC305">
        <v>5</v>
      </c>
      <c r="AD305" s="1" t="s">
        <v>67</v>
      </c>
      <c r="AE305" s="5">
        <f t="shared" si="83"/>
        <v>397</v>
      </c>
      <c r="AG305" s="56"/>
      <c r="AK305" s="2">
        <v>800</v>
      </c>
      <c r="AL305" s="7">
        <f t="shared" si="91"/>
        <v>0.24559999999999998</v>
      </c>
      <c r="AM305" s="8">
        <f t="shared" si="92"/>
        <v>7.5400000000000023E-2</v>
      </c>
      <c r="AN305" s="56">
        <f t="shared" si="93"/>
        <v>6.2399999999999997E-2</v>
      </c>
      <c r="AO305" s="9">
        <f t="shared" si="94"/>
        <v>1.6000000000000042E-3</v>
      </c>
      <c r="AX305" s="147"/>
      <c r="BO305">
        <f t="shared" si="84"/>
        <v>1.0033075</v>
      </c>
      <c r="BP305">
        <f t="shared" si="80"/>
        <v>1.9312149999999999</v>
      </c>
      <c r="BQ305">
        <f t="shared" si="85"/>
        <v>1.3126100000000001</v>
      </c>
      <c r="BR305">
        <f t="shared" si="86"/>
        <v>0.69400499999999998</v>
      </c>
      <c r="BS305" s="8"/>
      <c r="BT305" s="90"/>
      <c r="BU305" s="8"/>
      <c r="BV305" s="90"/>
      <c r="BW305" s="4">
        <f t="shared" si="81"/>
        <v>397</v>
      </c>
    </row>
    <row r="306" spans="1:75" s="27" customFormat="1" thickTop="1" thickBot="1" x14ac:dyDescent="0.3">
      <c r="A306" s="21">
        <v>397</v>
      </c>
      <c r="B306" s="22">
        <v>40</v>
      </c>
      <c r="C306" s="22">
        <v>7</v>
      </c>
      <c r="D306" s="23"/>
      <c r="E306" s="24">
        <v>66</v>
      </c>
      <c r="F306" s="24">
        <v>-59</v>
      </c>
      <c r="G306" s="25">
        <f t="shared" si="95"/>
        <v>125</v>
      </c>
      <c r="H306" s="23"/>
      <c r="I306" s="86">
        <v>115</v>
      </c>
      <c r="J306" s="3">
        <f>225-5.625*(B306-0.5-(I306-0.5*G306)/G306)</f>
        <v>5.1750000000000114</v>
      </c>
      <c r="K306" s="26">
        <f t="shared" si="96"/>
        <v>198</v>
      </c>
      <c r="L306" s="23"/>
      <c r="N306" s="23"/>
      <c r="O306" s="28">
        <v>0.30299999999999999</v>
      </c>
      <c r="P306" s="29">
        <v>3.4000000000000002E-2</v>
      </c>
      <c r="Q306" s="23"/>
      <c r="R306" s="30">
        <v>94</v>
      </c>
      <c r="S306" s="31">
        <v>21</v>
      </c>
      <c r="T306" s="32">
        <v>250</v>
      </c>
      <c r="U306" s="23"/>
      <c r="V306" s="33">
        <v>428</v>
      </c>
      <c r="W306" s="34">
        <f t="shared" si="97"/>
        <v>14.945383433733255</v>
      </c>
      <c r="X306" s="5"/>
      <c r="Y306" s="55">
        <v>152</v>
      </c>
      <c r="Z306" s="34">
        <f t="shared" si="98"/>
        <v>0.16303051054456358</v>
      </c>
      <c r="AB306" s="27">
        <v>30</v>
      </c>
      <c r="AC306" s="27">
        <v>30</v>
      </c>
      <c r="AD306" s="24" t="s">
        <v>67</v>
      </c>
      <c r="AE306" s="5">
        <f t="shared" si="83"/>
        <v>397</v>
      </c>
      <c r="AF306" s="28"/>
      <c r="AG306" s="55"/>
      <c r="AH306" s="3"/>
      <c r="AJ306" s="5"/>
      <c r="AK306" s="2">
        <v>600</v>
      </c>
      <c r="AL306" s="7">
        <f t="shared" si="91"/>
        <v>5.6399999999999999E-2</v>
      </c>
      <c r="AM306" s="8">
        <f t="shared" si="92"/>
        <v>0.24659999999999999</v>
      </c>
      <c r="AN306" s="56">
        <f t="shared" si="93"/>
        <v>1.26E-2</v>
      </c>
      <c r="AO306" s="9">
        <f t="shared" si="94"/>
        <v>2.1400000000000002E-2</v>
      </c>
      <c r="AP306" s="5"/>
      <c r="AQ306" s="91"/>
      <c r="AR306" s="5"/>
      <c r="AS306" s="96"/>
      <c r="AT306" s="5"/>
      <c r="AU306" s="30"/>
      <c r="AV306" s="31"/>
      <c r="AW306" s="32"/>
      <c r="AX306" s="147"/>
      <c r="BN306" s="5"/>
      <c r="BO306">
        <f t="shared" si="84"/>
        <v>0.53071500000000005</v>
      </c>
      <c r="BP306">
        <f t="shared" si="80"/>
        <v>0.81482999999999994</v>
      </c>
      <c r="BQ306">
        <f t="shared" si="85"/>
        <v>0.62541999999999998</v>
      </c>
      <c r="BR306">
        <f t="shared" si="86"/>
        <v>0.43601000000000001</v>
      </c>
      <c r="BS306" s="28"/>
      <c r="BT306" s="91"/>
      <c r="BU306" s="28"/>
      <c r="BV306" s="91"/>
      <c r="BW306" s="4">
        <f t="shared" si="81"/>
        <v>397</v>
      </c>
    </row>
    <row r="307" spans="1:75" thickTop="1" thickBot="1" x14ac:dyDescent="0.3">
      <c r="A307" s="15">
        <v>398</v>
      </c>
      <c r="B307" s="16">
        <v>40</v>
      </c>
      <c r="C307" s="16">
        <v>8</v>
      </c>
      <c r="D307" s="17"/>
      <c r="E307" s="1">
        <v>66</v>
      </c>
      <c r="F307" s="1">
        <v>-63</v>
      </c>
      <c r="G307" s="18">
        <f t="shared" si="95"/>
        <v>129</v>
      </c>
      <c r="H307" s="17"/>
      <c r="I307" s="16">
        <v>65</v>
      </c>
      <c r="J307" s="3">
        <f t="shared" si="87"/>
        <v>2.7906976744185954</v>
      </c>
      <c r="K307" s="20">
        <f t="shared" si="96"/>
        <v>210</v>
      </c>
      <c r="L307" s="17"/>
      <c r="N307" s="17"/>
      <c r="O307" s="8">
        <v>0.996</v>
      </c>
      <c r="P307" s="9">
        <v>9.1999999999999998E-2</v>
      </c>
      <c r="Q307" s="17"/>
      <c r="R307" s="10">
        <v>578</v>
      </c>
      <c r="S307" s="11">
        <v>37</v>
      </c>
      <c r="T307" s="12">
        <v>2000</v>
      </c>
      <c r="U307" s="17"/>
      <c r="V307" s="7">
        <v>2486</v>
      </c>
      <c r="W307" s="74">
        <f t="shared" si="97"/>
        <v>14.283645408172942</v>
      </c>
      <c r="Y307" s="56">
        <v>567</v>
      </c>
      <c r="Z307" s="13">
        <f t="shared" si="98"/>
        <v>0.14752514507816999</v>
      </c>
      <c r="AB307" s="72">
        <v>45</v>
      </c>
      <c r="AC307" s="72">
        <v>45</v>
      </c>
      <c r="AE307" s="5">
        <f t="shared" si="83"/>
        <v>398</v>
      </c>
      <c r="AF307" s="8">
        <f>(O307*AB307+O308*AB308+O309*AB309)/100</f>
        <v>0.67420000000000002</v>
      </c>
      <c r="AG307" s="56">
        <f>(P307*AC307+P308*AC308+P309*AC309)/100</f>
        <v>6.0850000000000001E-2</v>
      </c>
      <c r="AH307" s="3">
        <f>225-5.625*($B307-0.5)</f>
        <v>2.8125</v>
      </c>
      <c r="AI307">
        <f>K307</f>
        <v>210</v>
      </c>
      <c r="AK307" s="2">
        <v>800</v>
      </c>
      <c r="AL307" s="7">
        <f t="shared" si="91"/>
        <v>0.46239999999999998</v>
      </c>
      <c r="AM307" s="8">
        <f t="shared" si="92"/>
        <v>0.53360000000000007</v>
      </c>
      <c r="AN307" s="56">
        <f t="shared" si="93"/>
        <v>2.9599999999999998E-2</v>
      </c>
      <c r="AO307" s="9">
        <f t="shared" si="94"/>
        <v>6.2399999999999997E-2</v>
      </c>
      <c r="AQ307" s="90">
        <f>($AB307*AM307+$AB308*AM308+$AB309*AM309)/100</f>
        <v>0.37861000000000006</v>
      </c>
      <c r="AS307" s="95">
        <f>($AB307*AO307+$AB308*AO308+$AB309*AO309)/100</f>
        <v>3.202E-2</v>
      </c>
      <c r="AU307" s="10">
        <f>($AB307*R307+$AB308*R308+$AB309*R309)/100</f>
        <v>384.45</v>
      </c>
      <c r="AV307" s="11">
        <f>($AB307*S307+$AB308*S308+$AB309*S309)/100</f>
        <v>39.299999999999997</v>
      </c>
      <c r="AW307" s="12">
        <f>($AB307*T307+$AB308*T308+$AB309*T309)/100</f>
        <v>1127.5</v>
      </c>
      <c r="AX307" s="147">
        <f>($AB307*AK307+$AB308*AK308+$AB309*AK309)/100</f>
        <v>710</v>
      </c>
      <c r="BO307">
        <f t="shared" si="84"/>
        <v>2.280605</v>
      </c>
      <c r="BP307">
        <f t="shared" si="80"/>
        <v>4.0276100000000001</v>
      </c>
      <c r="BQ307">
        <f t="shared" si="85"/>
        <v>2.86294</v>
      </c>
      <c r="BR307">
        <f t="shared" si="86"/>
        <v>1.6982699999999999</v>
      </c>
      <c r="BS307" s="8">
        <f>($AB307*BO307+$AB308*BO308+$AB309*BO309)/100</f>
        <v>1.5406101249999997</v>
      </c>
      <c r="BT307" s="90">
        <f>($AB307*BP307+$AB308*BP308+$AB309*BP309)/100</f>
        <v>2.7026102500000002</v>
      </c>
      <c r="BU307" s="8">
        <f>($AB307*BQ307+$AB308*BQ308+$AB309*BQ309)/100</f>
        <v>1.9279435</v>
      </c>
      <c r="BV307" s="90">
        <f>($AB307*BR307+$AB308*BR308+$AB309*BR309)/100</f>
        <v>1.1532767500000001</v>
      </c>
      <c r="BW307" s="4">
        <f t="shared" si="81"/>
        <v>398</v>
      </c>
    </row>
    <row r="308" spans="1:75" thickTop="1" thickBot="1" x14ac:dyDescent="0.3">
      <c r="A308" s="4">
        <v>398</v>
      </c>
      <c r="B308" s="93">
        <v>40</v>
      </c>
      <c r="C308" s="93">
        <v>8</v>
      </c>
      <c r="E308" s="1">
        <v>66</v>
      </c>
      <c r="F308" s="1">
        <v>-63</v>
      </c>
      <c r="G308" s="3">
        <f t="shared" si="95"/>
        <v>129</v>
      </c>
      <c r="I308" s="14">
        <v>10</v>
      </c>
      <c r="J308" s="3">
        <f t="shared" si="87"/>
        <v>5.1889534883721069</v>
      </c>
      <c r="K308" s="6">
        <f t="shared" si="96"/>
        <v>210</v>
      </c>
      <c r="O308" s="8">
        <v>0.30599999999999999</v>
      </c>
      <c r="P308" s="9">
        <v>2.3E-2</v>
      </c>
      <c r="R308" s="10">
        <v>133</v>
      </c>
      <c r="S308" s="11">
        <v>29</v>
      </c>
      <c r="T308" s="12">
        <v>150</v>
      </c>
      <c r="V308" s="7">
        <v>603</v>
      </c>
      <c r="W308" s="74">
        <f t="shared" si="97"/>
        <v>14.716784564810057</v>
      </c>
      <c r="Y308" s="56">
        <v>171</v>
      </c>
      <c r="Z308" s="13">
        <f t="shared" si="98"/>
        <v>0.16077298658784153</v>
      </c>
      <c r="AB308">
        <v>45</v>
      </c>
      <c r="AC308">
        <v>45</v>
      </c>
      <c r="AE308" s="5">
        <f t="shared" si="83"/>
        <v>398</v>
      </c>
      <c r="AG308" s="56"/>
      <c r="AK308" s="2">
        <v>600</v>
      </c>
      <c r="AL308" s="7">
        <f t="shared" si="91"/>
        <v>7.9799999999999996E-2</v>
      </c>
      <c r="AM308" s="8">
        <f t="shared" si="92"/>
        <v>0.22620000000000001</v>
      </c>
      <c r="AN308" s="56">
        <f t="shared" si="93"/>
        <v>1.7399999999999999E-2</v>
      </c>
      <c r="AO308" s="9">
        <f t="shared" si="94"/>
        <v>5.6000000000000008E-3</v>
      </c>
      <c r="AX308" s="147"/>
      <c r="BO308">
        <f t="shared" si="84"/>
        <v>0.62819249999999993</v>
      </c>
      <c r="BP308">
        <f t="shared" si="80"/>
        <v>1.0301849999999999</v>
      </c>
      <c r="BQ308">
        <f t="shared" si="85"/>
        <v>0.76218999999999992</v>
      </c>
      <c r="BR308">
        <f t="shared" si="86"/>
        <v>0.494195</v>
      </c>
      <c r="BS308" s="8"/>
      <c r="BT308" s="90"/>
      <c r="BU308" s="8"/>
      <c r="BV308" s="90"/>
      <c r="BW308" s="4">
        <f t="shared" si="81"/>
        <v>398</v>
      </c>
    </row>
    <row r="309" spans="1:75" s="27" customFormat="1" thickTop="1" thickBot="1" x14ac:dyDescent="0.3">
      <c r="A309" s="21">
        <v>398</v>
      </c>
      <c r="B309" s="22">
        <v>40</v>
      </c>
      <c r="C309" s="22">
        <v>8</v>
      </c>
      <c r="D309" s="23"/>
      <c r="E309" s="24">
        <v>66</v>
      </c>
      <c r="F309" s="24">
        <v>-63</v>
      </c>
      <c r="G309" s="25">
        <f t="shared" si="95"/>
        <v>129</v>
      </c>
      <c r="H309" s="23"/>
      <c r="I309" s="22">
        <v>119</v>
      </c>
      <c r="J309" s="3">
        <f t="shared" si="87"/>
        <v>0.4360465116278931</v>
      </c>
      <c r="K309" s="26">
        <f t="shared" si="96"/>
        <v>210</v>
      </c>
      <c r="L309" s="23"/>
      <c r="N309" s="23"/>
      <c r="O309" s="28">
        <v>0.88300000000000001</v>
      </c>
      <c r="P309" s="29">
        <v>9.0999999999999998E-2</v>
      </c>
      <c r="Q309" s="23"/>
      <c r="R309" s="30">
        <v>645</v>
      </c>
      <c r="S309" s="31">
        <v>96</v>
      </c>
      <c r="T309" s="32">
        <v>1600</v>
      </c>
      <c r="U309" s="23"/>
      <c r="V309" s="33">
        <v>2087</v>
      </c>
      <c r="W309" s="34">
        <f t="shared" si="97"/>
        <v>14.31054041056303</v>
      </c>
      <c r="X309" s="5"/>
      <c r="Y309" s="55">
        <v>564</v>
      </c>
      <c r="Z309" s="34">
        <f t="shared" si="98"/>
        <v>0.14755693696126276</v>
      </c>
      <c r="AB309" s="27">
        <v>10</v>
      </c>
      <c r="AC309" s="27">
        <v>10</v>
      </c>
      <c r="AE309" s="5">
        <f t="shared" si="83"/>
        <v>398</v>
      </c>
      <c r="AF309" s="28"/>
      <c r="AG309" s="55"/>
      <c r="AH309" s="3"/>
      <c r="AJ309" s="5"/>
      <c r="AK309" s="2">
        <v>800</v>
      </c>
      <c r="AL309" s="7">
        <f t="shared" si="91"/>
        <v>0.51600000000000001</v>
      </c>
      <c r="AM309" s="8">
        <f t="shared" si="92"/>
        <v>0.36699999999999999</v>
      </c>
      <c r="AN309" s="56">
        <f t="shared" si="93"/>
        <v>7.6799999999999993E-2</v>
      </c>
      <c r="AO309" s="9">
        <f t="shared" si="94"/>
        <v>1.4200000000000004E-2</v>
      </c>
      <c r="AP309" s="5"/>
      <c r="AQ309" s="91"/>
      <c r="AR309" s="5"/>
      <c r="AS309" s="96"/>
      <c r="AT309" s="5"/>
      <c r="AU309" s="30"/>
      <c r="AV309" s="31"/>
      <c r="AW309" s="32"/>
      <c r="AX309" s="147"/>
      <c r="BN309" s="5"/>
      <c r="BO309">
        <f t="shared" si="84"/>
        <v>2.3165125</v>
      </c>
      <c r="BP309">
        <f t="shared" si="80"/>
        <v>4.266025</v>
      </c>
      <c r="BQ309">
        <f t="shared" si="85"/>
        <v>2.9663499999999998</v>
      </c>
      <c r="BR309">
        <f t="shared" si="86"/>
        <v>1.6666750000000001</v>
      </c>
      <c r="BS309" s="28"/>
      <c r="BT309" s="91"/>
      <c r="BU309" s="28"/>
      <c r="BV309" s="91"/>
      <c r="BW309" s="4">
        <f t="shared" si="81"/>
        <v>398</v>
      </c>
    </row>
    <row r="310" spans="1:75" thickTop="1" thickBot="1" x14ac:dyDescent="0.3">
      <c r="A310" s="15">
        <v>399</v>
      </c>
      <c r="B310" s="16">
        <v>40</v>
      </c>
      <c r="C310" s="16">
        <v>9</v>
      </c>
      <c r="D310" s="17"/>
      <c r="E310" s="1">
        <v>72</v>
      </c>
      <c r="F310" s="1">
        <v>-64</v>
      </c>
      <c r="G310" s="18">
        <f t="shared" si="95"/>
        <v>136</v>
      </c>
      <c r="H310" s="17"/>
      <c r="I310" s="16">
        <v>68</v>
      </c>
      <c r="J310" s="3">
        <f t="shared" si="87"/>
        <v>2.8125</v>
      </c>
      <c r="K310" s="20">
        <f t="shared" si="96"/>
        <v>222</v>
      </c>
      <c r="L310" s="17"/>
      <c r="N310" s="17"/>
      <c r="O310" s="8">
        <v>2.875</v>
      </c>
      <c r="P310" s="9">
        <v>0.14399999999999999</v>
      </c>
      <c r="Q310" s="17"/>
      <c r="R310" s="10">
        <v>950</v>
      </c>
      <c r="S310" s="11">
        <v>94</v>
      </c>
      <c r="T310" s="12">
        <v>300</v>
      </c>
      <c r="U310" s="17"/>
      <c r="V310" s="7">
        <v>3707</v>
      </c>
      <c r="W310" s="74">
        <f t="shared" si="97"/>
        <v>14.237190703814019</v>
      </c>
      <c r="Y310" s="56">
        <v>0</v>
      </c>
      <c r="Z310" s="13" t="e">
        <f t="shared" si="98"/>
        <v>#DIV/0!</v>
      </c>
      <c r="AB310" s="72">
        <v>40</v>
      </c>
      <c r="AC310" s="72">
        <v>40</v>
      </c>
      <c r="AD310" s="1" t="s">
        <v>68</v>
      </c>
      <c r="AE310" s="5">
        <f t="shared" si="83"/>
        <v>399</v>
      </c>
      <c r="AF310" s="8">
        <f>(O310*AB310+O311*AB311+O312*AB312)/100</f>
        <v>1.786</v>
      </c>
      <c r="AG310" s="56">
        <f>(P310*AC310+P311*AC311+P312*AC312)/100</f>
        <v>9.9199999999999997E-2</v>
      </c>
      <c r="AH310" s="3">
        <f>225-5.625*($B310-0.5)</f>
        <v>2.8125</v>
      </c>
      <c r="AI310">
        <f>K310</f>
        <v>222</v>
      </c>
      <c r="AK310" s="2">
        <v>1200</v>
      </c>
      <c r="AL310" s="7">
        <f t="shared" si="91"/>
        <v>1.1399999999999999</v>
      </c>
      <c r="AM310" s="8">
        <f t="shared" si="92"/>
        <v>1.7350000000000001</v>
      </c>
      <c r="AN310" s="56">
        <f t="shared" si="93"/>
        <v>0.1128</v>
      </c>
      <c r="AO310" s="9">
        <f t="shared" si="94"/>
        <v>3.1199999999999992E-2</v>
      </c>
      <c r="AQ310" s="90">
        <f>($AB310*AM310+$AB311*AM311+$AB312*AM312)/100</f>
        <v>1.1746000000000001</v>
      </c>
      <c r="AS310" s="95">
        <f>($AB310*AO310+$AB311*AO311+$AB312*AO312)/100</f>
        <v>3.8539999999999998E-2</v>
      </c>
      <c r="AU310" s="10">
        <f>($AB310*R310+$AB311*R311+$AB312*R312)/100</f>
        <v>602</v>
      </c>
      <c r="AV310" s="11">
        <f>($AB310*S310+$AB311*S311+$AB312*S312)/100</f>
        <v>59.8</v>
      </c>
      <c r="AW310" s="12">
        <f>($AB310*T310+$AB311*T311+$AB312*T312)/100</f>
        <v>700</v>
      </c>
      <c r="AX310" s="147">
        <f>($AB310*AK310+$AB311*AK311+$AB312*AK312)/100</f>
        <v>900</v>
      </c>
      <c r="BO310">
        <f t="shared" si="84"/>
        <v>4.6063749999999999</v>
      </c>
      <c r="BP310">
        <f t="shared" si="80"/>
        <v>7.4777500000000003</v>
      </c>
      <c r="BQ310">
        <f t="shared" si="85"/>
        <v>5.5634999999999994</v>
      </c>
      <c r="BR310">
        <f t="shared" si="86"/>
        <v>3.6492499999999999</v>
      </c>
      <c r="BS310" s="8">
        <f>($AB310*BO310+$AB311*BO311+$AB312*BO312)/100</f>
        <v>2.9941449999999996</v>
      </c>
      <c r="BT310" s="90">
        <f>($AB310*BP310+$AB311*BP311+$AB312*BP312)/100</f>
        <v>4.8136900000000002</v>
      </c>
      <c r="BU310" s="8">
        <f>($AB310*BQ310+$AB311*BQ311+$AB312*BQ312)/100</f>
        <v>3.6006599999999995</v>
      </c>
      <c r="BV310" s="90">
        <f>($AB310*BR310+$AB311*BR311+$AB312*BR312)/100</f>
        <v>2.3876300000000001</v>
      </c>
      <c r="BW310" s="4">
        <f t="shared" si="81"/>
        <v>399</v>
      </c>
    </row>
    <row r="311" spans="1:75" thickTop="1" thickBot="1" x14ac:dyDescent="0.3">
      <c r="A311" s="4">
        <v>399</v>
      </c>
      <c r="B311" s="93">
        <v>40</v>
      </c>
      <c r="C311" s="93">
        <v>9</v>
      </c>
      <c r="E311" s="1">
        <v>72</v>
      </c>
      <c r="F311" s="1">
        <v>-64</v>
      </c>
      <c r="G311" s="3">
        <f t="shared" si="95"/>
        <v>136</v>
      </c>
      <c r="I311" s="14">
        <v>10</v>
      </c>
      <c r="J311" s="3">
        <f t="shared" si="87"/>
        <v>5.2113970588235361</v>
      </c>
      <c r="K311" s="6">
        <f t="shared" si="96"/>
        <v>222</v>
      </c>
      <c r="O311" s="8">
        <v>0.52600000000000002</v>
      </c>
      <c r="P311" s="9">
        <v>2.8000000000000001E-2</v>
      </c>
      <c r="R311" s="10">
        <v>170</v>
      </c>
      <c r="S311" s="11">
        <v>29</v>
      </c>
      <c r="T311" s="12">
        <v>100</v>
      </c>
      <c r="V311" s="7">
        <v>630</v>
      </c>
      <c r="W311" s="74">
        <f t="shared" si="97"/>
        <v>14.692617733849062</v>
      </c>
      <c r="Y311" s="56">
        <v>0</v>
      </c>
      <c r="Z311" s="13" t="e">
        <f t="shared" si="98"/>
        <v>#DIV/0!</v>
      </c>
      <c r="AB311">
        <v>20</v>
      </c>
      <c r="AC311">
        <v>20</v>
      </c>
      <c r="AE311" s="5">
        <f t="shared" si="83"/>
        <v>399</v>
      </c>
      <c r="AG311" s="56"/>
      <c r="AK311" s="2">
        <v>700</v>
      </c>
      <c r="AL311" s="7">
        <f t="shared" si="91"/>
        <v>0.11899999999999999</v>
      </c>
      <c r="AM311" s="8">
        <f t="shared" si="92"/>
        <v>0.40700000000000003</v>
      </c>
      <c r="AN311" s="56">
        <f t="shared" si="93"/>
        <v>2.0299999999999999E-2</v>
      </c>
      <c r="AO311" s="9">
        <f t="shared" si="94"/>
        <v>7.700000000000002E-3</v>
      </c>
      <c r="AX311" s="147"/>
      <c r="BO311">
        <f t="shared" si="84"/>
        <v>0.920825</v>
      </c>
      <c r="BP311">
        <f t="shared" si="80"/>
        <v>1.43465</v>
      </c>
      <c r="BQ311">
        <f t="shared" si="85"/>
        <v>1.0921000000000001</v>
      </c>
      <c r="BR311">
        <f t="shared" si="86"/>
        <v>0.74955000000000005</v>
      </c>
      <c r="BS311" s="8"/>
      <c r="BT311" s="90"/>
      <c r="BU311" s="8"/>
      <c r="BV311" s="90"/>
      <c r="BW311" s="4">
        <f t="shared" si="81"/>
        <v>399</v>
      </c>
    </row>
    <row r="312" spans="1:75" s="40" customFormat="1" thickTop="1" thickBot="1" x14ac:dyDescent="0.3">
      <c r="A312" s="35">
        <v>399</v>
      </c>
      <c r="B312" s="22">
        <v>40</v>
      </c>
      <c r="C312" s="22">
        <v>9</v>
      </c>
      <c r="D312" s="37"/>
      <c r="E312" s="38">
        <v>72</v>
      </c>
      <c r="F312" s="38">
        <v>-64</v>
      </c>
      <c r="G312" s="39">
        <f t="shared" si="95"/>
        <v>136</v>
      </c>
      <c r="H312" s="37"/>
      <c r="I312" s="36">
        <v>126</v>
      </c>
      <c r="J312" s="3">
        <f t="shared" si="87"/>
        <v>0.4136029411764639</v>
      </c>
      <c r="K312" s="52">
        <f t="shared" si="96"/>
        <v>222</v>
      </c>
      <c r="L312" s="37"/>
      <c r="N312" s="37"/>
      <c r="O312" s="41">
        <v>1.327</v>
      </c>
      <c r="P312" s="42">
        <v>0.09</v>
      </c>
      <c r="Q312" s="37"/>
      <c r="R312" s="43">
        <v>470</v>
      </c>
      <c r="S312" s="44">
        <v>41</v>
      </c>
      <c r="T312" s="45">
        <v>1400</v>
      </c>
      <c r="U312" s="37"/>
      <c r="V312" s="46">
        <v>2597</v>
      </c>
      <c r="W312" s="84">
        <f t="shared" si="97"/>
        <v>14.277625742486411</v>
      </c>
      <c r="X312" s="5"/>
      <c r="Y312" s="85">
        <v>507</v>
      </c>
      <c r="Z312" s="84">
        <f t="shared" si="98"/>
        <v>0.14823085572097061</v>
      </c>
      <c r="AB312" s="40">
        <v>40</v>
      </c>
      <c r="AC312" s="40">
        <v>40</v>
      </c>
      <c r="AE312" s="5">
        <f t="shared" si="83"/>
        <v>399</v>
      </c>
      <c r="AF312" s="28"/>
      <c r="AG312" s="55"/>
      <c r="AH312" s="3"/>
      <c r="AJ312" s="5"/>
      <c r="AK312" s="83">
        <v>700</v>
      </c>
      <c r="AL312" s="7">
        <f t="shared" ref="AL312:AL330" si="99">AK312*R312*0.000001</f>
        <v>0.32899999999999996</v>
      </c>
      <c r="AM312" s="8">
        <f t="shared" ref="AM312:AM330" si="100">O312-AL312</f>
        <v>0.998</v>
      </c>
      <c r="AN312" s="56">
        <f t="shared" si="93"/>
        <v>2.87E-2</v>
      </c>
      <c r="AO312" s="9">
        <f t="shared" ref="AO312:AO330" si="101">P312-AN312</f>
        <v>6.1299999999999993E-2</v>
      </c>
      <c r="AP312" s="5"/>
      <c r="AQ312" s="91"/>
      <c r="AR312" s="5"/>
      <c r="AS312" s="96"/>
      <c r="AT312" s="5"/>
      <c r="AU312" s="30"/>
      <c r="AV312" s="31"/>
      <c r="AW312" s="32"/>
      <c r="AX312" s="147"/>
      <c r="BN312" s="5"/>
      <c r="BO312">
        <f t="shared" si="84"/>
        <v>2.4185749999999997</v>
      </c>
      <c r="BP312">
        <f t="shared" si="80"/>
        <v>3.8391500000000001</v>
      </c>
      <c r="BQ312">
        <f t="shared" si="85"/>
        <v>2.8921000000000001</v>
      </c>
      <c r="BR312">
        <f t="shared" si="86"/>
        <v>1.9450499999999999</v>
      </c>
      <c r="BS312" s="28"/>
      <c r="BT312" s="91"/>
      <c r="BU312" s="28"/>
      <c r="BV312" s="91"/>
      <c r="BW312" s="4">
        <f t="shared" si="81"/>
        <v>399</v>
      </c>
    </row>
    <row r="313" spans="1:75" thickTop="1" thickBot="1" x14ac:dyDescent="0.3">
      <c r="A313" s="15">
        <v>400</v>
      </c>
      <c r="B313" s="16">
        <v>40</v>
      </c>
      <c r="C313" s="16">
        <v>10</v>
      </c>
      <c r="D313" s="17"/>
      <c r="E313" s="1">
        <v>73</v>
      </c>
      <c r="F313" s="1">
        <v>-71</v>
      </c>
      <c r="G313" s="18">
        <f t="shared" si="95"/>
        <v>144</v>
      </c>
      <c r="H313" s="17"/>
      <c r="I313" s="16">
        <v>72</v>
      </c>
      <c r="J313" s="3">
        <f t="shared" ref="J313:J324" si="102">225-5.625*(B313-0.5-(I313-0.5*G313)/G313)</f>
        <v>2.8125</v>
      </c>
      <c r="K313" s="20">
        <f t="shared" si="96"/>
        <v>234</v>
      </c>
      <c r="L313" s="17"/>
      <c r="N313" s="17"/>
      <c r="O313" s="8">
        <v>4.67</v>
      </c>
      <c r="P313" s="9">
        <v>0.17599999999999999</v>
      </c>
      <c r="Q313" s="17"/>
      <c r="R313" s="10">
        <v>1465</v>
      </c>
      <c r="S313" s="11">
        <v>105</v>
      </c>
      <c r="T313" s="12">
        <v>700</v>
      </c>
      <c r="U313" s="17"/>
      <c r="V313" s="7">
        <v>10406</v>
      </c>
      <c r="W313" s="74">
        <f t="shared" si="97"/>
        <v>14.176070825432019</v>
      </c>
      <c r="Y313" s="56">
        <v>861</v>
      </c>
      <c r="Z313" s="13">
        <f t="shared" si="98"/>
        <v>0.14546972257425403</v>
      </c>
      <c r="AB313" s="89">
        <v>65</v>
      </c>
      <c r="AC313" s="89">
        <v>65</v>
      </c>
      <c r="AD313" s="13" t="s">
        <v>69</v>
      </c>
      <c r="AE313" s="5">
        <f t="shared" si="83"/>
        <v>400</v>
      </c>
      <c r="AF313" s="8">
        <f>(O313*AB313+O314*AB314+O315*AB315)/100</f>
        <v>3.7695499999999997</v>
      </c>
      <c r="AG313" s="56">
        <f>(P313*AC313+P314*AC314+P315*AC315)/100</f>
        <v>0.16064999999999999</v>
      </c>
      <c r="AH313" s="3">
        <f>225-5.625*($B313-0.5)</f>
        <v>2.8125</v>
      </c>
      <c r="AI313">
        <f>K313</f>
        <v>234</v>
      </c>
      <c r="AK313" s="94">
        <v>1300</v>
      </c>
      <c r="AL313" s="7">
        <f t="shared" si="99"/>
        <v>1.9044999999999999</v>
      </c>
      <c r="AM313" s="8">
        <f t="shared" si="100"/>
        <v>2.7655000000000003</v>
      </c>
      <c r="AN313" s="56">
        <f>S313*AK313*0.000001*(6/13)</f>
        <v>6.3E-2</v>
      </c>
      <c r="AO313" s="9">
        <f t="shared" si="101"/>
        <v>0.11299999999999999</v>
      </c>
      <c r="AQ313" s="90">
        <f>($AB313*AM313+$AB314*AM314+$AB315*AM315)/100</f>
        <v>2.413395</v>
      </c>
      <c r="AS313" s="95">
        <f>($AB313*AO313+$AB314*AO314+$AB315*AO315)/100</f>
        <v>0.10457999999999998</v>
      </c>
      <c r="AU313" s="10">
        <f>($AB313*R313+$AB314*R314+$AB315*R315)/100</f>
        <v>1121.1500000000001</v>
      </c>
      <c r="AV313" s="11">
        <f>($AB313*S313+$AB314*S314+$AB315*S315)/100</f>
        <v>89.85</v>
      </c>
      <c r="AW313" s="12">
        <f>($AB313*T313+$AB314*T314+$AB315*T315)/100</f>
        <v>560</v>
      </c>
      <c r="AX313" s="147">
        <f>($AB313*AK313+$AB314*AK314+$AB315*AK315)/100</f>
        <v>1090</v>
      </c>
      <c r="BO313">
        <f t="shared" si="84"/>
        <v>7.1934624999999999</v>
      </c>
      <c r="BP313">
        <f t="shared" si="80"/>
        <v>11.621425</v>
      </c>
      <c r="BQ313">
        <f t="shared" si="85"/>
        <v>8.6694499999999994</v>
      </c>
      <c r="BR313">
        <f t="shared" si="86"/>
        <v>5.7174750000000003</v>
      </c>
      <c r="BS313" s="8">
        <f>($AB313*BO313+$AB314*BO314+$AB315*BO315)/100</f>
        <v>5.802070875000001</v>
      </c>
      <c r="BT313" s="90">
        <f>($AB313*BP313+$AB314*BP314+$AB315*BP315)/100</f>
        <v>9.1907467500000006</v>
      </c>
      <c r="BU313" s="8">
        <f>($AB313*BQ313+$AB314*BQ314+$AB315*BQ315)/100</f>
        <v>6.9316294999999988</v>
      </c>
      <c r="BV313" s="90">
        <f>($AB313*BR313+$AB314*BR314+$AB315*BR315)/100</f>
        <v>4.6725122499999996</v>
      </c>
      <c r="BW313" s="4">
        <f t="shared" si="81"/>
        <v>400</v>
      </c>
    </row>
    <row r="314" spans="1:75" thickTop="1" thickBot="1" x14ac:dyDescent="0.3">
      <c r="A314" s="4">
        <v>400</v>
      </c>
      <c r="B314" s="93">
        <v>40</v>
      </c>
      <c r="C314" s="93">
        <v>10</v>
      </c>
      <c r="E314" s="1">
        <v>73</v>
      </c>
      <c r="F314" s="1">
        <v>-71</v>
      </c>
      <c r="G314" s="3">
        <f t="shared" si="95"/>
        <v>144</v>
      </c>
      <c r="I314" s="2">
        <v>10</v>
      </c>
      <c r="J314" s="3">
        <f t="shared" si="102"/>
        <v>0.390625</v>
      </c>
      <c r="K314" s="6">
        <f t="shared" si="96"/>
        <v>234</v>
      </c>
      <c r="O314" s="8">
        <v>1.01</v>
      </c>
      <c r="P314" s="9">
        <v>8.7999999999999995E-2</v>
      </c>
      <c r="R314" s="10">
        <v>312</v>
      </c>
      <c r="S314" s="11">
        <v>78</v>
      </c>
      <c r="T314" s="12">
        <v>0</v>
      </c>
      <c r="V314" s="7">
        <v>2202</v>
      </c>
      <c r="W314" s="74">
        <f t="shared" si="97"/>
        <v>14.301794505138565</v>
      </c>
      <c r="Y314" s="56">
        <v>625</v>
      </c>
      <c r="Z314" s="13">
        <f t="shared" si="98"/>
        <v>0.14696938456699071</v>
      </c>
      <c r="AB314">
        <v>20</v>
      </c>
      <c r="AC314">
        <v>20</v>
      </c>
      <c r="AE314" s="5">
        <f t="shared" si="83"/>
        <v>400</v>
      </c>
      <c r="AG314" s="56"/>
      <c r="AK314" s="2">
        <v>700</v>
      </c>
      <c r="AL314" s="7">
        <f t="shared" si="99"/>
        <v>0.21839999999999998</v>
      </c>
      <c r="AM314" s="8">
        <f t="shared" si="100"/>
        <v>0.79160000000000008</v>
      </c>
      <c r="AN314" s="56">
        <f>S314*AK314*0.000001</f>
        <v>5.4599999999999996E-2</v>
      </c>
      <c r="AO314" s="9">
        <f t="shared" si="101"/>
        <v>3.3399999999999999E-2</v>
      </c>
      <c r="AX314" s="147"/>
      <c r="BO314">
        <f t="shared" si="84"/>
        <v>1.7346200000000001</v>
      </c>
      <c r="BP314">
        <f t="shared" si="80"/>
        <v>2.6776400000000002</v>
      </c>
      <c r="BQ314">
        <f t="shared" si="85"/>
        <v>2.0489600000000001</v>
      </c>
      <c r="BR314">
        <f t="shared" si="86"/>
        <v>1.42028</v>
      </c>
      <c r="BS314" s="8"/>
      <c r="BT314" s="90"/>
      <c r="BU314" s="8"/>
      <c r="BV314" s="90"/>
      <c r="BW314" s="4">
        <f t="shared" si="81"/>
        <v>400</v>
      </c>
    </row>
    <row r="315" spans="1:75" s="27" customFormat="1" thickTop="1" thickBot="1" x14ac:dyDescent="0.3">
      <c r="A315" s="21">
        <v>400</v>
      </c>
      <c r="B315" s="22">
        <v>40</v>
      </c>
      <c r="C315" s="22">
        <v>10</v>
      </c>
      <c r="D315" s="23"/>
      <c r="E315" s="24">
        <v>73</v>
      </c>
      <c r="F315" s="24">
        <v>-71</v>
      </c>
      <c r="G315" s="25">
        <f t="shared" si="95"/>
        <v>144</v>
      </c>
      <c r="H315" s="23"/>
      <c r="I315" s="86">
        <v>134</v>
      </c>
      <c r="J315" s="25">
        <f t="shared" si="102"/>
        <v>5.234375</v>
      </c>
      <c r="K315" s="26">
        <f t="shared" si="96"/>
        <v>234</v>
      </c>
      <c r="L315" s="23"/>
      <c r="N315" s="23"/>
      <c r="O315" s="28">
        <v>3.5470000000000002</v>
      </c>
      <c r="P315" s="29">
        <v>0.191</v>
      </c>
      <c r="Q315" s="23"/>
      <c r="R315" s="30">
        <v>710</v>
      </c>
      <c r="S315" s="31">
        <v>40</v>
      </c>
      <c r="T315" s="32">
        <v>700</v>
      </c>
      <c r="U315" s="23"/>
      <c r="V315" s="33">
        <v>7422</v>
      </c>
      <c r="W315" s="34">
        <f t="shared" si="97"/>
        <v>14.189691530435539</v>
      </c>
      <c r="X315" s="23"/>
      <c r="Y315" s="55">
        <v>1164</v>
      </c>
      <c r="Z315" s="34">
        <f t="shared" si="98"/>
        <v>0.14442682067126461</v>
      </c>
      <c r="AB315" s="27">
        <v>15</v>
      </c>
      <c r="AC315" s="27">
        <v>15</v>
      </c>
      <c r="AD315" s="34" t="s">
        <v>70</v>
      </c>
      <c r="AE315" s="5">
        <f t="shared" si="83"/>
        <v>400</v>
      </c>
      <c r="AF315" s="28"/>
      <c r="AG315" s="55"/>
      <c r="AH315" s="25"/>
      <c r="AJ315" s="23"/>
      <c r="AK315" s="22">
        <v>700</v>
      </c>
      <c r="AL315" s="33">
        <f t="shared" si="99"/>
        <v>0.497</v>
      </c>
      <c r="AM315" s="28">
        <f t="shared" si="100"/>
        <v>3.0500000000000003</v>
      </c>
      <c r="AN315" s="55">
        <f>S315*AK315*0.000001</f>
        <v>2.7999999999999997E-2</v>
      </c>
      <c r="AO315" s="29">
        <f t="shared" si="101"/>
        <v>0.16300000000000001</v>
      </c>
      <c r="AP315" s="23"/>
      <c r="AQ315" s="91"/>
      <c r="AR315" s="23"/>
      <c r="AS315" s="96"/>
      <c r="AT315" s="23"/>
      <c r="AU315" s="30"/>
      <c r="AV315" s="31"/>
      <c r="AW315" s="32"/>
      <c r="AX315" s="147"/>
      <c r="BN315" s="23"/>
      <c r="BO315">
        <f t="shared" si="84"/>
        <v>5.1959750000000007</v>
      </c>
      <c r="BP315">
        <f t="shared" si="80"/>
        <v>7.3419500000000006</v>
      </c>
      <c r="BQ315">
        <f t="shared" si="85"/>
        <v>5.9113000000000007</v>
      </c>
      <c r="BR315">
        <f t="shared" si="86"/>
        <v>4.4806499999999998</v>
      </c>
      <c r="BS315" s="28"/>
      <c r="BT315" s="91"/>
      <c r="BU315" s="28"/>
      <c r="BV315" s="91"/>
      <c r="BW315" s="4">
        <f t="shared" si="81"/>
        <v>400</v>
      </c>
    </row>
    <row r="316" spans="1:75" s="105" customFormat="1" thickTop="1" thickBot="1" x14ac:dyDescent="0.3">
      <c r="A316" s="123">
        <v>71</v>
      </c>
      <c r="B316" s="124">
        <v>8</v>
      </c>
      <c r="C316" s="124">
        <v>1</v>
      </c>
      <c r="D316" s="103"/>
      <c r="E316" s="104">
        <v>73</v>
      </c>
      <c r="F316" s="104">
        <v>-70</v>
      </c>
      <c r="G316" s="129">
        <f t="shared" si="95"/>
        <v>143</v>
      </c>
      <c r="H316" s="103"/>
      <c r="I316" s="133">
        <v>0</v>
      </c>
      <c r="J316" s="18">
        <f t="shared" si="102"/>
        <v>180</v>
      </c>
      <c r="K316" s="20">
        <f t="shared" si="96"/>
        <v>126</v>
      </c>
      <c r="L316" s="103"/>
      <c r="N316" s="103"/>
      <c r="O316" s="106">
        <v>0.247</v>
      </c>
      <c r="P316" s="107">
        <v>0.246</v>
      </c>
      <c r="Q316" s="103"/>
      <c r="R316" s="108">
        <v>129</v>
      </c>
      <c r="S316" s="109">
        <v>74</v>
      </c>
      <c r="T316" s="110">
        <v>2900</v>
      </c>
      <c r="U316" s="103"/>
      <c r="V316" s="127">
        <v>459</v>
      </c>
      <c r="W316" s="74">
        <f t="shared" si="97"/>
        <v>14.892497855454865</v>
      </c>
      <c r="X316" s="17">
        <v>0.14696938456699071</v>
      </c>
      <c r="Y316" s="128">
        <v>578</v>
      </c>
      <c r="Z316" s="13">
        <f t="shared" si="98"/>
        <v>0.14741134218990198</v>
      </c>
      <c r="AB316" s="72">
        <v>33</v>
      </c>
      <c r="AC316" s="72">
        <v>33</v>
      </c>
      <c r="AD316"/>
      <c r="AE316" s="5">
        <f t="shared" si="83"/>
        <v>71</v>
      </c>
      <c r="AF316" s="8">
        <f>(O316*AB316+O317*AB317+O318*AB318)/100</f>
        <v>0.27851999999999999</v>
      </c>
      <c r="AG316" s="56">
        <f>(P316*AC316+P317*AC317+P318*AC318)/100</f>
        <v>0.33858000000000005</v>
      </c>
      <c r="AH316" s="3">
        <f>225-5.625*($B316-0.5)</f>
        <v>182.8125</v>
      </c>
      <c r="AI316">
        <f>K316</f>
        <v>126</v>
      </c>
      <c r="AJ316" s="5"/>
      <c r="AK316" s="132">
        <v>800</v>
      </c>
      <c r="AL316" s="7">
        <f t="shared" si="99"/>
        <v>0.1032</v>
      </c>
      <c r="AM316" s="8">
        <f t="shared" si="100"/>
        <v>0.14379999999999998</v>
      </c>
      <c r="AN316" s="56">
        <f>S316*AK316*0.000001*(6/13)</f>
        <v>2.7323076923076922E-2</v>
      </c>
      <c r="AO316" s="9">
        <f t="shared" si="101"/>
        <v>0.21867692307692307</v>
      </c>
      <c r="AP316" s="5"/>
      <c r="AQ316" s="90">
        <f>($AB316*AM316+$AB317*AM317+$AB318*AM318)/100</f>
        <v>0.13173600000000002</v>
      </c>
      <c r="AR316" s="5"/>
      <c r="AS316" s="95">
        <f>($AB316*AO316+$AB317*AO317+$AB318*AO318)/100</f>
        <v>0.28864338461538458</v>
      </c>
      <c r="AT316" s="5"/>
      <c r="AU316" s="10">
        <f>($AB316*R316+$AB317*R317+$AB318*R318)/100</f>
        <v>183.48</v>
      </c>
      <c r="AV316" s="11">
        <f>($AB316*S316+$AB317*S317+$AB318*S318)/100</f>
        <v>75.569999999999993</v>
      </c>
      <c r="AW316" s="12">
        <f>($AB316*T316+$AB317*T317+$AB318*T318)/100</f>
        <v>3349.5</v>
      </c>
      <c r="AX316" s="147">
        <f>($AB316*AK316+$AB317*AK317+$AB318*AK318)/100</f>
        <v>792</v>
      </c>
      <c r="BN316" s="17"/>
      <c r="BO316">
        <f t="shared" si="84"/>
        <v>0.53370249999999997</v>
      </c>
      <c r="BP316">
        <f t="shared" si="80"/>
        <v>0.92360500000000001</v>
      </c>
      <c r="BQ316">
        <f t="shared" si="85"/>
        <v>0.66366999999999998</v>
      </c>
      <c r="BR316">
        <f t="shared" si="86"/>
        <v>0.40373500000000001</v>
      </c>
      <c r="BS316" s="8">
        <f>($AB316*BO316+$AB317*BO317+$AB318*BO318)/100</f>
        <v>0.68630430000000009</v>
      </c>
      <c r="BT316" s="90">
        <f>($AB316*BP316+$AB317*BP317+$AB318*BP318)/100</f>
        <v>1.2408726000000001</v>
      </c>
      <c r="BU316" s="8">
        <f>($AB316*BQ316+$AB317*BQ317+$AB318*BQ318)/100</f>
        <v>0.87116039999999995</v>
      </c>
      <c r="BV316" s="90">
        <f>($AB316*BR316+$AB317*BR317+$AB318*BR318)/100</f>
        <v>0.50144820000000001</v>
      </c>
      <c r="BW316" s="4">
        <f t="shared" si="81"/>
        <v>71</v>
      </c>
    </row>
    <row r="317" spans="1:75" s="105" customFormat="1" thickTop="1" thickBot="1" x14ac:dyDescent="0.3">
      <c r="A317" s="123">
        <v>71</v>
      </c>
      <c r="B317" s="124">
        <v>8</v>
      </c>
      <c r="C317" s="124">
        <v>1</v>
      </c>
      <c r="D317" s="125"/>
      <c r="E317" s="104">
        <v>73</v>
      </c>
      <c r="F317" s="104">
        <v>-70</v>
      </c>
      <c r="G317" s="25">
        <f t="shared" si="95"/>
        <v>143</v>
      </c>
      <c r="H317" s="125"/>
      <c r="I317" s="126">
        <v>-50</v>
      </c>
      <c r="J317" s="3">
        <f t="shared" si="102"/>
        <v>178.03321678321677</v>
      </c>
      <c r="K317" s="6">
        <f t="shared" si="96"/>
        <v>126</v>
      </c>
      <c r="L317" s="125"/>
      <c r="N317" s="125"/>
      <c r="O317" s="106">
        <v>0.26100000000000001</v>
      </c>
      <c r="P317" s="107">
        <v>0.32400000000000001</v>
      </c>
      <c r="Q317" s="125"/>
      <c r="R317" s="108">
        <v>326</v>
      </c>
      <c r="S317" s="109">
        <v>63</v>
      </c>
      <c r="T317" s="110">
        <v>4000</v>
      </c>
      <c r="U317" s="125"/>
      <c r="V317" s="127">
        <v>535</v>
      </c>
      <c r="W317" s="74">
        <f t="shared" si="97"/>
        <v>14.788224666438049</v>
      </c>
      <c r="X317" s="5">
        <v>0.14696938456699071</v>
      </c>
      <c r="Y317" s="128">
        <v>796</v>
      </c>
      <c r="Z317" s="13">
        <f t="shared" si="98"/>
        <v>0.14579534082759701</v>
      </c>
      <c r="AB317" s="72">
        <v>33</v>
      </c>
      <c r="AC317" s="72">
        <v>33</v>
      </c>
      <c r="AD317"/>
      <c r="AE317" s="5">
        <f t="shared" si="83"/>
        <v>71</v>
      </c>
      <c r="AF317" s="8"/>
      <c r="AG317" s="56"/>
      <c r="AH317" s="3"/>
      <c r="AI317"/>
      <c r="AJ317" s="5"/>
      <c r="AK317" s="2">
        <v>800</v>
      </c>
      <c r="AL317" s="7">
        <f t="shared" si="99"/>
        <v>0.26079999999999998</v>
      </c>
      <c r="AM317" s="8">
        <f t="shared" si="100"/>
        <v>2.0000000000003348E-4</v>
      </c>
      <c r="AN317" s="56">
        <f>S317*AK317*0.000001</f>
        <v>5.04E-2</v>
      </c>
      <c r="AO317" s="9">
        <f t="shared" si="101"/>
        <v>0.27360000000000001</v>
      </c>
      <c r="AP317" s="5"/>
      <c r="AQ317" s="90"/>
      <c r="AR317" s="5"/>
      <c r="AS317" s="95"/>
      <c r="AT317" s="5"/>
      <c r="AU317" s="10"/>
      <c r="AV317" s="11"/>
      <c r="AW317" s="12"/>
      <c r="AX317" s="147"/>
      <c r="BN317" s="5"/>
      <c r="BO317">
        <f t="shared" si="84"/>
        <v>0.98553500000000005</v>
      </c>
      <c r="BP317">
        <f t="shared" si="80"/>
        <v>1.9708700000000001</v>
      </c>
      <c r="BQ317">
        <f t="shared" si="85"/>
        <v>1.3139799999999999</v>
      </c>
      <c r="BR317">
        <f t="shared" si="86"/>
        <v>0.65708999999999995</v>
      </c>
      <c r="BS317" s="106"/>
      <c r="BT317" s="140"/>
      <c r="BU317" s="106"/>
      <c r="BV317" s="140"/>
      <c r="BW317" s="4">
        <f t="shared" si="81"/>
        <v>71</v>
      </c>
    </row>
    <row r="318" spans="1:75" s="27" customFormat="1" thickTop="1" thickBot="1" x14ac:dyDescent="0.3">
      <c r="A318" s="130">
        <v>71</v>
      </c>
      <c r="B318" s="131">
        <v>8</v>
      </c>
      <c r="C318" s="131">
        <v>1</v>
      </c>
      <c r="D318" s="23"/>
      <c r="E318" s="24">
        <v>73</v>
      </c>
      <c r="F318" s="24">
        <v>-70</v>
      </c>
      <c r="G318" s="25">
        <f t="shared" si="95"/>
        <v>143</v>
      </c>
      <c r="H318" s="23"/>
      <c r="I318" s="134">
        <v>63</v>
      </c>
      <c r="J318" s="25">
        <f t="shared" si="102"/>
        <v>182.47814685314685</v>
      </c>
      <c r="K318" s="26">
        <f t="shared" si="96"/>
        <v>126</v>
      </c>
      <c r="L318" s="23"/>
      <c r="N318" s="23"/>
      <c r="O318" s="28">
        <v>0.33600000000000002</v>
      </c>
      <c r="P318" s="29">
        <v>0.45600000000000002</v>
      </c>
      <c r="Q318" s="23"/>
      <c r="R318" s="30">
        <v>101</v>
      </c>
      <c r="S318" s="31">
        <v>92</v>
      </c>
      <c r="T318" s="32">
        <v>3250</v>
      </c>
      <c r="U318" s="23"/>
      <c r="V318" s="33">
        <v>488</v>
      </c>
      <c r="W318" s="34">
        <f t="shared" si="97"/>
        <v>14.848966404389518</v>
      </c>
      <c r="X318" s="23">
        <v>0.14696938456699071</v>
      </c>
      <c r="Y318" s="55">
        <v>949</v>
      </c>
      <c r="Z318" s="34">
        <f t="shared" si="98"/>
        <v>0.14509907229120447</v>
      </c>
      <c r="AB318" s="27">
        <v>33</v>
      </c>
      <c r="AC318" s="27">
        <v>33</v>
      </c>
      <c r="AE318" s="5">
        <f t="shared" si="83"/>
        <v>71</v>
      </c>
      <c r="AF318" s="28"/>
      <c r="AG318" s="55"/>
      <c r="AH318" s="25"/>
      <c r="AJ318" s="23"/>
      <c r="AK318" s="22">
        <v>800</v>
      </c>
      <c r="AL318" s="33">
        <f t="shared" si="99"/>
        <v>8.0799999999999997E-2</v>
      </c>
      <c r="AM318" s="28">
        <f t="shared" si="100"/>
        <v>0.25520000000000004</v>
      </c>
      <c r="AN318" s="55">
        <f>S318*AK318*0.000001</f>
        <v>7.3599999999999999E-2</v>
      </c>
      <c r="AO318" s="29">
        <f t="shared" si="101"/>
        <v>0.38240000000000002</v>
      </c>
      <c r="AP318" s="23"/>
      <c r="AQ318" s="91"/>
      <c r="AR318" s="23"/>
      <c r="AS318" s="96"/>
      <c r="AT318" s="23"/>
      <c r="AU318" s="30"/>
      <c r="AV318" s="31"/>
      <c r="AW318" s="32"/>
      <c r="AX318" s="147"/>
      <c r="BN318" s="23"/>
      <c r="BO318">
        <f t="shared" si="84"/>
        <v>0.56047250000000004</v>
      </c>
      <c r="BP318">
        <f t="shared" si="80"/>
        <v>0.86574499999999999</v>
      </c>
      <c r="BQ318">
        <f t="shared" si="85"/>
        <v>0.6622300000000001</v>
      </c>
      <c r="BR318">
        <f t="shared" si="86"/>
        <v>0.45871500000000004</v>
      </c>
      <c r="BS318" s="28"/>
      <c r="BT318" s="91"/>
      <c r="BU318" s="28"/>
      <c r="BV318" s="91"/>
      <c r="BW318" s="4">
        <f t="shared" si="81"/>
        <v>71</v>
      </c>
    </row>
    <row r="319" spans="1:75" s="105" customFormat="1" thickTop="1" thickBot="1" x14ac:dyDescent="0.3">
      <c r="A319" s="123">
        <v>79</v>
      </c>
      <c r="B319" s="124">
        <v>8</v>
      </c>
      <c r="C319" s="124">
        <v>9</v>
      </c>
      <c r="D319" s="103"/>
      <c r="E319" s="104">
        <v>68</v>
      </c>
      <c r="F319" s="104">
        <v>-64</v>
      </c>
      <c r="G319" s="129">
        <f t="shared" si="95"/>
        <v>132</v>
      </c>
      <c r="H319" s="103"/>
      <c r="I319" s="133">
        <v>0</v>
      </c>
      <c r="J319" s="18">
        <f t="shared" si="102"/>
        <v>180</v>
      </c>
      <c r="K319" s="20">
        <f t="shared" si="96"/>
        <v>222</v>
      </c>
      <c r="L319" s="103"/>
      <c r="N319" s="103"/>
      <c r="O319" s="106">
        <v>0.126</v>
      </c>
      <c r="P319" s="107">
        <v>6.2E-2</v>
      </c>
      <c r="Q319" s="103"/>
      <c r="R319" s="108">
        <v>200</v>
      </c>
      <c r="S319" s="109">
        <v>34</v>
      </c>
      <c r="T319" s="110">
        <v>1700</v>
      </c>
      <c r="U319" s="103"/>
      <c r="V319" s="127">
        <v>312</v>
      </c>
      <c r="W319" s="74">
        <f t="shared" si="97"/>
        <v>15.233229534517035</v>
      </c>
      <c r="X319" s="17">
        <v>0.14696938456699071</v>
      </c>
      <c r="Y319" s="128">
        <v>199</v>
      </c>
      <c r="Z319" s="13">
        <f t="shared" si="98"/>
        <v>0.15819331726764158</v>
      </c>
      <c r="AB319" s="72">
        <v>33</v>
      </c>
      <c r="AC319" s="72">
        <v>33</v>
      </c>
      <c r="AD319"/>
      <c r="AE319" s="5">
        <f t="shared" si="83"/>
        <v>79</v>
      </c>
      <c r="AF319" s="8">
        <f>(O319*AB319+O320*AB320+O321*AB321)/100</f>
        <v>9.2729999999999993E-2</v>
      </c>
      <c r="AG319" s="56">
        <f>(P319*AC319+P320*AC320+P321*AC321)/100</f>
        <v>3.7290000000000004E-2</v>
      </c>
      <c r="AH319" s="3">
        <f>225-5.625*($B319-0.5)</f>
        <v>182.8125</v>
      </c>
      <c r="AI319">
        <f>K319</f>
        <v>222</v>
      </c>
      <c r="AJ319" s="5"/>
      <c r="AK319" s="132">
        <v>700</v>
      </c>
      <c r="AL319" s="7">
        <f t="shared" si="99"/>
        <v>0.13999999999999999</v>
      </c>
      <c r="AM319" s="8">
        <f t="shared" si="100"/>
        <v>-1.3999999999999985E-2</v>
      </c>
      <c r="AN319" s="56">
        <f>S319*AK319*0.000001*(6/13)</f>
        <v>1.0984615384615384E-2</v>
      </c>
      <c r="AO319" s="9">
        <f t="shared" si="101"/>
        <v>5.1015384615384615E-2</v>
      </c>
      <c r="AP319" s="5"/>
      <c r="AQ319" s="90">
        <f>($AB319*AM319+$AB320*AM320+$AB321*AM321)/100</f>
        <v>1.3464000000000005E-2</v>
      </c>
      <c r="AR319" s="5"/>
      <c r="AS319" s="95">
        <f>($AB319*AO319+$AB320*AO320+$AB321*AO321)/100</f>
        <v>2.3765076923076923E-2</v>
      </c>
      <c r="AT319" s="5"/>
      <c r="AU319" s="10">
        <f>($AB319*R319+$AB320*R320+$AB321*R321)/100</f>
        <v>121.11</v>
      </c>
      <c r="AV319" s="11">
        <f>($AB319*S319+$AB320*S320+$AB321*S321)/100</f>
        <v>27.72</v>
      </c>
      <c r="AW319" s="12">
        <f>($AB319*T319+$AB320*T320+$AB321*T321)/100</f>
        <v>1336.5</v>
      </c>
      <c r="AX319" s="147">
        <f>($AB319*AK319+$AB320*AK320+$AB321*AK321)/100</f>
        <v>627</v>
      </c>
      <c r="BN319" s="17"/>
      <c r="BO319">
        <f t="shared" si="84"/>
        <v>0.59050000000000002</v>
      </c>
      <c r="BP319">
        <f t="shared" si="80"/>
        <v>1.1949999999999998</v>
      </c>
      <c r="BQ319">
        <f t="shared" si="85"/>
        <v>0.79200000000000004</v>
      </c>
      <c r="BR319">
        <f t="shared" si="86"/>
        <v>0.38900000000000001</v>
      </c>
      <c r="BS319" s="8">
        <f>($AB319*BO319+$AB320*BO320+$AB321*BO321)/100</f>
        <v>0.37951897500000004</v>
      </c>
      <c r="BT319" s="90">
        <f>($AB319*BP319+$AB320*BP320+$AB321*BP321)/100</f>
        <v>0.74557394999999982</v>
      </c>
      <c r="BU319" s="8">
        <f>($AB319*BQ319+$AB320*BQ320+$AB321*BQ321)/100</f>
        <v>0.50153730000000007</v>
      </c>
      <c r="BV319" s="90">
        <f>($AB319*BR319+$AB320*BR320+$AB321*BR321)/100</f>
        <v>0.25750065</v>
      </c>
      <c r="BW319" s="4">
        <f t="shared" si="81"/>
        <v>79</v>
      </c>
    </row>
    <row r="320" spans="1:75" s="105" customFormat="1" thickTop="1" thickBot="1" x14ac:dyDescent="0.3">
      <c r="A320" s="123">
        <v>79</v>
      </c>
      <c r="B320" s="124">
        <v>8</v>
      </c>
      <c r="C320" s="124">
        <v>9</v>
      </c>
      <c r="D320" s="125"/>
      <c r="E320" s="104">
        <v>68</v>
      </c>
      <c r="F320" s="104">
        <v>-64</v>
      </c>
      <c r="G320" s="25">
        <f t="shared" si="95"/>
        <v>132</v>
      </c>
      <c r="H320" s="125"/>
      <c r="I320" s="126">
        <v>-50</v>
      </c>
      <c r="J320" s="3">
        <f t="shared" si="102"/>
        <v>177.86931818181819</v>
      </c>
      <c r="K320" s="6">
        <f t="shared" si="96"/>
        <v>222</v>
      </c>
      <c r="L320" s="125"/>
      <c r="N320" s="125"/>
      <c r="O320" s="106">
        <v>7.3999999999999996E-2</v>
      </c>
      <c r="P320" s="107">
        <v>1.9E-2</v>
      </c>
      <c r="Q320" s="125"/>
      <c r="R320" s="108">
        <v>87</v>
      </c>
      <c r="S320" s="109">
        <v>13</v>
      </c>
      <c r="T320" s="110">
        <v>1150</v>
      </c>
      <c r="U320" s="125"/>
      <c r="V320" s="127">
        <v>119</v>
      </c>
      <c r="W320" s="74">
        <f t="shared" si="97"/>
        <v>16.853296812356273</v>
      </c>
      <c r="X320" s="5">
        <v>0.14696938456699071</v>
      </c>
      <c r="Y320" s="128">
        <v>55</v>
      </c>
      <c r="Z320" s="13">
        <f t="shared" si="98"/>
        <v>0.1954016841836789</v>
      </c>
      <c r="AB320" s="72">
        <v>33</v>
      </c>
      <c r="AC320" s="72">
        <v>33</v>
      </c>
      <c r="AD320"/>
      <c r="AE320" s="5">
        <f t="shared" si="83"/>
        <v>79</v>
      </c>
      <c r="AF320" s="8"/>
      <c r="AG320" s="56"/>
      <c r="AH320" s="3"/>
      <c r="AI320"/>
      <c r="AJ320" s="5"/>
      <c r="AK320" s="2">
        <v>600</v>
      </c>
      <c r="AL320" s="7">
        <f t="shared" si="99"/>
        <v>5.2199999999999996E-2</v>
      </c>
      <c r="AM320" s="8">
        <f t="shared" si="100"/>
        <v>2.18E-2</v>
      </c>
      <c r="AN320" s="56">
        <f>S320*AK320*0.000001</f>
        <v>7.7999999999999996E-3</v>
      </c>
      <c r="AO320" s="9">
        <f t="shared" si="101"/>
        <v>1.12E-2</v>
      </c>
      <c r="AP320" s="5"/>
      <c r="AQ320" s="90"/>
      <c r="AR320" s="5"/>
      <c r="AS320" s="95"/>
      <c r="AT320" s="5"/>
      <c r="AU320" s="10"/>
      <c r="AV320" s="11"/>
      <c r="AW320" s="12"/>
      <c r="AX320" s="147"/>
      <c r="BN320" s="5"/>
      <c r="BO320">
        <f t="shared" si="84"/>
        <v>0.2847575</v>
      </c>
      <c r="BP320">
        <f t="shared" si="80"/>
        <v>0.54771499999999995</v>
      </c>
      <c r="BQ320">
        <f t="shared" si="85"/>
        <v>0.37241000000000002</v>
      </c>
      <c r="BR320">
        <f t="shared" si="86"/>
        <v>0.197105</v>
      </c>
      <c r="BS320" s="106"/>
      <c r="BT320" s="140"/>
      <c r="BU320" s="106"/>
      <c r="BV320" s="140"/>
      <c r="BW320" s="4">
        <f t="shared" si="81"/>
        <v>79</v>
      </c>
    </row>
    <row r="321" spans="1:75" s="27" customFormat="1" thickTop="1" thickBot="1" x14ac:dyDescent="0.3">
      <c r="A321" s="130">
        <v>79</v>
      </c>
      <c r="B321" s="131">
        <v>8</v>
      </c>
      <c r="C321" s="131">
        <v>9</v>
      </c>
      <c r="D321" s="23"/>
      <c r="E321" s="24">
        <v>68</v>
      </c>
      <c r="F321" s="24">
        <v>-64</v>
      </c>
      <c r="G321" s="25">
        <f t="shared" si="95"/>
        <v>132</v>
      </c>
      <c r="H321" s="23"/>
      <c r="I321" s="134">
        <v>58</v>
      </c>
      <c r="J321" s="25">
        <f t="shared" si="102"/>
        <v>182.47159090909091</v>
      </c>
      <c r="K321" s="26">
        <f t="shared" si="96"/>
        <v>222</v>
      </c>
      <c r="L321" s="23"/>
      <c r="N321" s="23"/>
      <c r="O321" s="28">
        <v>8.1000000000000003E-2</v>
      </c>
      <c r="P321" s="29">
        <v>3.2000000000000001E-2</v>
      </c>
      <c r="Q321" s="23"/>
      <c r="R321" s="30">
        <v>80</v>
      </c>
      <c r="S321" s="31">
        <v>37</v>
      </c>
      <c r="T321" s="32">
        <v>1200</v>
      </c>
      <c r="U321" s="23"/>
      <c r="V321" s="33">
        <v>308</v>
      </c>
      <c r="W321" s="34">
        <f t="shared" si="97"/>
        <v>15.24688599247507</v>
      </c>
      <c r="X321" s="23">
        <v>0.14696938456699071</v>
      </c>
      <c r="Y321" s="55">
        <v>158</v>
      </c>
      <c r="Z321" s="34">
        <f t="shared" si="98"/>
        <v>0.16226248464771711</v>
      </c>
      <c r="AB321" s="27">
        <v>33</v>
      </c>
      <c r="AC321" s="27">
        <v>33</v>
      </c>
      <c r="AE321" s="5">
        <f t="shared" si="83"/>
        <v>79</v>
      </c>
      <c r="AF321" s="28"/>
      <c r="AG321" s="55"/>
      <c r="AH321" s="25"/>
      <c r="AJ321" s="23"/>
      <c r="AK321" s="22">
        <v>600</v>
      </c>
      <c r="AL321" s="33">
        <f t="shared" si="99"/>
        <v>4.8000000000000001E-2</v>
      </c>
      <c r="AM321" s="28">
        <f t="shared" si="100"/>
        <v>3.3000000000000002E-2</v>
      </c>
      <c r="AN321" s="55">
        <f>S321*AK321*0.000001</f>
        <v>2.2199999999999998E-2</v>
      </c>
      <c r="AO321" s="29">
        <f t="shared" si="101"/>
        <v>9.8000000000000032E-3</v>
      </c>
      <c r="AP321" s="23"/>
      <c r="AQ321" s="91"/>
      <c r="AR321" s="23"/>
      <c r="AS321" s="96"/>
      <c r="AT321" s="23"/>
      <c r="AU321" s="30"/>
      <c r="AV321" s="31"/>
      <c r="AW321" s="32"/>
      <c r="AX321" s="147"/>
      <c r="BN321" s="23"/>
      <c r="BO321">
        <f t="shared" si="84"/>
        <v>0.27479999999999999</v>
      </c>
      <c r="BP321">
        <f t="shared" si="80"/>
        <v>0.51659999999999995</v>
      </c>
      <c r="BQ321">
        <f t="shared" si="85"/>
        <v>0.35539999999999999</v>
      </c>
      <c r="BR321">
        <f t="shared" si="86"/>
        <v>0.19419999999999998</v>
      </c>
      <c r="BS321" s="28"/>
      <c r="BT321" s="91"/>
      <c r="BU321" s="28"/>
      <c r="BV321" s="91"/>
      <c r="BW321" s="4">
        <f t="shared" si="81"/>
        <v>79</v>
      </c>
    </row>
    <row r="322" spans="1:75" s="105" customFormat="1" thickTop="1" thickBot="1" x14ac:dyDescent="0.3">
      <c r="A322" s="123">
        <v>172</v>
      </c>
      <c r="B322" s="124">
        <v>16</v>
      </c>
      <c r="C322" s="124">
        <v>2</v>
      </c>
      <c r="D322" s="103"/>
      <c r="E322" s="104">
        <v>67</v>
      </c>
      <c r="F322" s="104">
        <v>-68</v>
      </c>
      <c r="G322" s="129">
        <f t="shared" si="95"/>
        <v>135</v>
      </c>
      <c r="H322" s="103"/>
      <c r="I322" s="133">
        <v>0</v>
      </c>
      <c r="J322" s="18">
        <f t="shared" si="102"/>
        <v>135</v>
      </c>
      <c r="K322" s="20">
        <f t="shared" si="96"/>
        <v>138</v>
      </c>
      <c r="L322" s="103"/>
      <c r="N322" s="103"/>
      <c r="O322" s="106">
        <v>0.17499999999999999</v>
      </c>
      <c r="P322" s="107">
        <v>0.11600000000000001</v>
      </c>
      <c r="Q322" s="103"/>
      <c r="R322" s="108">
        <v>180</v>
      </c>
      <c r="S322" s="109">
        <v>37</v>
      </c>
      <c r="T322" s="110">
        <v>900</v>
      </c>
      <c r="U322" s="103"/>
      <c r="V322" s="127">
        <v>288</v>
      </c>
      <c r="W322" s="74">
        <f t="shared" si="97"/>
        <v>15.32064692570853</v>
      </c>
      <c r="X322" s="17">
        <v>0.14696938456699071</v>
      </c>
      <c r="Y322" s="128">
        <v>294</v>
      </c>
      <c r="Z322" s="13">
        <f t="shared" si="98"/>
        <v>0.15297503242103822</v>
      </c>
      <c r="AB322" s="72">
        <v>33</v>
      </c>
      <c r="AC322" s="72">
        <v>33</v>
      </c>
      <c r="AD322"/>
      <c r="AE322" s="5">
        <f t="shared" si="83"/>
        <v>172</v>
      </c>
      <c r="AF322" s="8">
        <f>(O322*AB322+O323*AB323+O324*AB324)/100</f>
        <v>0.21614999999999998</v>
      </c>
      <c r="AG322" s="56">
        <f>(P322*AC322+P323*AC323+P324*AC324)/100</f>
        <v>0.14157</v>
      </c>
      <c r="AH322" s="3">
        <f>225-5.625*($B322-0.5)</f>
        <v>137.8125</v>
      </c>
      <c r="AI322">
        <f>K322</f>
        <v>138</v>
      </c>
      <c r="AJ322" s="5"/>
      <c r="AK322" s="132">
        <v>700</v>
      </c>
      <c r="AL322" s="7">
        <f t="shared" si="99"/>
        <v>0.126</v>
      </c>
      <c r="AM322" s="8">
        <f t="shared" si="100"/>
        <v>4.8999999999999988E-2</v>
      </c>
      <c r="AN322" s="56">
        <f>S322*AK322*0.000001*(6/13)</f>
        <v>1.1953846153846153E-2</v>
      </c>
      <c r="AO322" s="9">
        <f t="shared" si="101"/>
        <v>0.10404615384615386</v>
      </c>
      <c r="AP322" s="5"/>
      <c r="AQ322" s="90">
        <f>($AB322*AM322+$AB323*AM323+$AB324*AM324)/100</f>
        <v>5.517600000000001E-2</v>
      </c>
      <c r="AR322" s="5"/>
      <c r="AS322" s="95">
        <f>($AB322*AO322+$AB323*AO323+$AB324*AO324)/100</f>
        <v>0.11505323076923077</v>
      </c>
      <c r="AT322" s="5"/>
      <c r="AU322" s="10">
        <f>($AB322*R322+$AB323*R323+$AB324*R324)/100</f>
        <v>192.06</v>
      </c>
      <c r="AV322" s="11">
        <f>($AB322*S322+$AB323*S323+$AB324*S324)/100</f>
        <v>37.29</v>
      </c>
      <c r="AW322" s="12">
        <f>($AB322*T322+$AB323*T323+$AB324*T324)/100</f>
        <v>1023</v>
      </c>
      <c r="AX322" s="147">
        <f>($AB322*AK322+$AB323*AK323+$AB324*AK324)/100</f>
        <v>825</v>
      </c>
      <c r="BN322" s="17"/>
      <c r="BO322">
        <f t="shared" si="84"/>
        <v>0.59304999999999997</v>
      </c>
      <c r="BP322">
        <f t="shared" ref="BP322:BP330" si="103">(31*3*10*6.5-$AK322)*$R322/(1000000)+$O322</f>
        <v>1.1371</v>
      </c>
      <c r="BQ322">
        <f t="shared" si="85"/>
        <v>0.77439999999999998</v>
      </c>
      <c r="BR322">
        <f t="shared" si="86"/>
        <v>0.41169999999999995</v>
      </c>
      <c r="BS322" s="8">
        <f>($AB322*BO322+$AB323*BO323+$AB324*BO324)/100</f>
        <v>0.63567735000000003</v>
      </c>
      <c r="BT322" s="90">
        <f>($AB322*BP322+$AB323*BP323+$AB324*BP324)/100</f>
        <v>1.2161786999999999</v>
      </c>
      <c r="BU322" s="8">
        <f>($AB322*BQ322+$AB323*BQ323+$AB324*BQ324)/100</f>
        <v>0.82917779999999996</v>
      </c>
      <c r="BV322" s="90">
        <f>($AB322*BR322+$AB323*BR323+$AB324*BR324)/100</f>
        <v>0.44217689999999998</v>
      </c>
      <c r="BW322" s="4">
        <f t="shared" ref="BW322:BW334" si="104">A322</f>
        <v>172</v>
      </c>
    </row>
    <row r="323" spans="1:75" s="105" customFormat="1" thickTop="1" thickBot="1" x14ac:dyDescent="0.3">
      <c r="A323" s="123">
        <v>172</v>
      </c>
      <c r="B323" s="124">
        <v>16</v>
      </c>
      <c r="C323" s="124">
        <v>2</v>
      </c>
      <c r="D323" s="125"/>
      <c r="E323" s="104">
        <v>67</v>
      </c>
      <c r="F323" s="104">
        <v>-68</v>
      </c>
      <c r="G323" s="25">
        <f t="shared" si="95"/>
        <v>135</v>
      </c>
      <c r="H323" s="125"/>
      <c r="I323" s="126">
        <v>-50</v>
      </c>
      <c r="J323" s="3">
        <f t="shared" si="102"/>
        <v>132.91666666666669</v>
      </c>
      <c r="K323" s="6">
        <f t="shared" si="96"/>
        <v>138</v>
      </c>
      <c r="L323" s="125"/>
      <c r="N323" s="125"/>
      <c r="O323" s="106">
        <v>0.16200000000000001</v>
      </c>
      <c r="P323" s="107">
        <v>0.10199999999999999</v>
      </c>
      <c r="Q323" s="125"/>
      <c r="R323" s="108">
        <v>182</v>
      </c>
      <c r="S323" s="109">
        <v>39</v>
      </c>
      <c r="T323" s="110">
        <v>900</v>
      </c>
      <c r="U323" s="125"/>
      <c r="V323" s="127">
        <v>377</v>
      </c>
      <c r="W323" s="74">
        <f t="shared" si="97"/>
        <v>15.050754098681967</v>
      </c>
      <c r="X323" s="5">
        <v>0.14696938456699071</v>
      </c>
      <c r="Y323" s="128">
        <v>290</v>
      </c>
      <c r="Z323" s="13">
        <f t="shared" si="98"/>
        <v>0.15312829869775529</v>
      </c>
      <c r="AB323" s="72">
        <v>33</v>
      </c>
      <c r="AC323" s="72">
        <v>33</v>
      </c>
      <c r="AD323"/>
      <c r="AE323" s="5">
        <f t="shared" ref="AE323:AE334" si="105">A323</f>
        <v>172</v>
      </c>
      <c r="AF323" s="8"/>
      <c r="AG323" s="56"/>
      <c r="AH323" s="3"/>
      <c r="AI323"/>
      <c r="AJ323" s="5"/>
      <c r="AK323" s="2">
        <v>900</v>
      </c>
      <c r="AL323" s="7">
        <f t="shared" si="99"/>
        <v>0.1638</v>
      </c>
      <c r="AM323" s="8">
        <f t="shared" si="100"/>
        <v>-1.799999999999996E-3</v>
      </c>
      <c r="AN323" s="56">
        <f>S323*AK323*0.000001</f>
        <v>3.5099999999999999E-2</v>
      </c>
      <c r="AO323" s="9">
        <f t="shared" si="101"/>
        <v>6.6899999999999987E-2</v>
      </c>
      <c r="AP323" s="5"/>
      <c r="AQ323" s="90"/>
      <c r="AR323" s="5"/>
      <c r="AS323" s="95"/>
      <c r="AT323" s="5"/>
      <c r="AU323" s="10"/>
      <c r="AV323" s="11"/>
      <c r="AW323" s="12"/>
      <c r="AX323" s="147"/>
      <c r="BN323" s="5"/>
      <c r="BO323">
        <f t="shared" ref="BO323:BO330" si="106">(31*1.5*10*6.5-AK323)*R323/(1000000)+O323</f>
        <v>0.54829499999999998</v>
      </c>
      <c r="BP323">
        <f t="shared" si="103"/>
        <v>1.09839</v>
      </c>
      <c r="BQ323">
        <f t="shared" ref="BQ323:BQ330" si="107">(31*2*10*6.5-$AK323)*$R323/(1000000)+$O323</f>
        <v>0.73166000000000009</v>
      </c>
      <c r="BR323">
        <f t="shared" ref="BR323:BR330" si="108">(31*10*6.5-$AK323)*$R323/(1000000)+$O323</f>
        <v>0.36492999999999998</v>
      </c>
      <c r="BS323" s="106"/>
      <c r="BT323" s="140"/>
      <c r="BU323" s="106"/>
      <c r="BV323" s="140"/>
      <c r="BW323" s="4">
        <f t="shared" si="104"/>
        <v>172</v>
      </c>
    </row>
    <row r="324" spans="1:75" s="27" customFormat="1" thickTop="1" thickBot="1" x14ac:dyDescent="0.3">
      <c r="A324" s="130">
        <v>172</v>
      </c>
      <c r="B324" s="131">
        <v>16</v>
      </c>
      <c r="C324" s="131">
        <v>2</v>
      </c>
      <c r="D324" s="23"/>
      <c r="E324" s="24">
        <v>67</v>
      </c>
      <c r="F324" s="24">
        <v>-68</v>
      </c>
      <c r="G324" s="25">
        <f t="shared" si="95"/>
        <v>135</v>
      </c>
      <c r="H324" s="23"/>
      <c r="I324" s="134">
        <v>57</v>
      </c>
      <c r="J324" s="25">
        <f t="shared" si="102"/>
        <v>137.375</v>
      </c>
      <c r="K324" s="26">
        <f t="shared" si="96"/>
        <v>138</v>
      </c>
      <c r="L324" s="23"/>
      <c r="N324" s="23"/>
      <c r="O324" s="28">
        <v>0.318</v>
      </c>
      <c r="P324" s="29">
        <v>0.21099999999999999</v>
      </c>
      <c r="Q324" s="23"/>
      <c r="R324" s="30">
        <v>220</v>
      </c>
      <c r="S324" s="31">
        <v>37</v>
      </c>
      <c r="T324" s="32">
        <v>1300</v>
      </c>
      <c r="U324" s="23"/>
      <c r="V324" s="33">
        <v>345</v>
      </c>
      <c r="W324" s="34">
        <f t="shared" si="97"/>
        <v>15.132267088786691</v>
      </c>
      <c r="X324" s="23">
        <v>0.14696938456699071</v>
      </c>
      <c r="Y324" s="55">
        <v>403</v>
      </c>
      <c r="Z324" s="34">
        <f t="shared" si="98"/>
        <v>0.14993795242754177</v>
      </c>
      <c r="AB324" s="27">
        <v>33</v>
      </c>
      <c r="AC324" s="27">
        <v>33</v>
      </c>
      <c r="AE324" s="5">
        <f t="shared" si="105"/>
        <v>172</v>
      </c>
      <c r="AF324" s="28"/>
      <c r="AG324" s="55"/>
      <c r="AH324" s="25"/>
      <c r="AJ324" s="23"/>
      <c r="AK324" s="22">
        <v>900</v>
      </c>
      <c r="AL324" s="33">
        <f t="shared" si="99"/>
        <v>0.19799999999999998</v>
      </c>
      <c r="AM324" s="28">
        <f t="shared" si="100"/>
        <v>0.12000000000000002</v>
      </c>
      <c r="AN324" s="55">
        <f>S324*AK324*0.000001</f>
        <v>3.3299999999999996E-2</v>
      </c>
      <c r="AO324" s="29">
        <f t="shared" si="101"/>
        <v>0.1777</v>
      </c>
      <c r="AP324" s="23"/>
      <c r="AQ324" s="91"/>
      <c r="AR324" s="23"/>
      <c r="AS324" s="96"/>
      <c r="AT324" s="23"/>
      <c r="AU324" s="30"/>
      <c r="AV324" s="31"/>
      <c r="AW324" s="32"/>
      <c r="AX324" s="147"/>
      <c r="BN324" s="23"/>
      <c r="BO324">
        <f t="shared" si="106"/>
        <v>0.78495000000000004</v>
      </c>
      <c r="BP324">
        <f t="shared" si="103"/>
        <v>1.4499</v>
      </c>
      <c r="BQ324">
        <f t="shared" si="107"/>
        <v>1.0065999999999999</v>
      </c>
      <c r="BR324">
        <f t="shared" si="108"/>
        <v>0.56330000000000002</v>
      </c>
      <c r="BS324" s="28"/>
      <c r="BT324" s="91"/>
      <c r="BU324" s="28"/>
      <c r="BV324" s="91"/>
      <c r="BW324" s="4">
        <f t="shared" si="104"/>
        <v>172</v>
      </c>
    </row>
    <row r="325" spans="1:75" s="105" customFormat="1" thickTop="1" thickBot="1" x14ac:dyDescent="0.3">
      <c r="A325" s="123">
        <v>180</v>
      </c>
      <c r="B325" s="124">
        <v>16</v>
      </c>
      <c r="C325" s="124">
        <v>10</v>
      </c>
      <c r="D325" s="103"/>
      <c r="E325" s="104">
        <v>72</v>
      </c>
      <c r="F325" s="104">
        <v>-72</v>
      </c>
      <c r="G325" s="129">
        <f t="shared" ref="G325:G330" si="109">E325-F325</f>
        <v>144</v>
      </c>
      <c r="H325" s="103"/>
      <c r="I325" s="133">
        <v>0</v>
      </c>
      <c r="J325" s="18">
        <f t="shared" ref="J325:J329" si="110">225-5.625*(B325-0.5-(I325-0.5*G325)/G325)</f>
        <v>135</v>
      </c>
      <c r="K325" s="20">
        <f t="shared" ref="K325:K339" si="111">120+12*(C325-0.5)</f>
        <v>234</v>
      </c>
      <c r="L325" s="103"/>
      <c r="N325" s="103"/>
      <c r="O325" s="106">
        <v>1.6E-2</v>
      </c>
      <c r="P325" s="107">
        <v>4.2000000000000003E-2</v>
      </c>
      <c r="Q325" s="103"/>
      <c r="R325" s="108">
        <v>70</v>
      </c>
      <c r="S325" s="109">
        <v>70</v>
      </c>
      <c r="T325" s="110">
        <v>2100</v>
      </c>
      <c r="U325" s="103"/>
      <c r="V325" s="127">
        <v>412</v>
      </c>
      <c r="W325" s="74">
        <f t="shared" ref="W325:W330" si="112">SQRT(0.1^2+0.1^2+1/V325)*100</f>
        <v>14.975708486084862</v>
      </c>
      <c r="X325" s="17">
        <v>0.14696938456699071</v>
      </c>
      <c r="Y325" s="128">
        <v>181</v>
      </c>
      <c r="Z325" s="13">
        <f t="shared" ref="Z325:Z330" si="113">SQRT(0.1^2+0.1^2+1/Y325)</f>
        <v>0.15976502082262262</v>
      </c>
      <c r="AB325" s="72">
        <v>33</v>
      </c>
      <c r="AC325" s="72">
        <v>33</v>
      </c>
      <c r="AD325"/>
      <c r="AE325" s="5">
        <f t="shared" si="105"/>
        <v>180</v>
      </c>
      <c r="AF325" s="8">
        <f>(O325*AB325+O326*AB326+O327*AB327)/100</f>
        <v>5.28E-3</v>
      </c>
      <c r="AG325" s="56">
        <f>(P325*AC325+P326*AC326+P327*AC327)/100</f>
        <v>1.3860000000000001E-2</v>
      </c>
      <c r="AH325" s="3">
        <f>225-5.625*($B325-0.5)</f>
        <v>137.8125</v>
      </c>
      <c r="AI325">
        <f>K325</f>
        <v>234</v>
      </c>
      <c r="AJ325" s="5"/>
      <c r="AK325" s="132">
        <v>800</v>
      </c>
      <c r="AL325" s="7">
        <f t="shared" si="99"/>
        <v>5.5999999999999994E-2</v>
      </c>
      <c r="AM325" s="8">
        <f t="shared" si="100"/>
        <v>-3.9999999999999994E-2</v>
      </c>
      <c r="AN325" s="56">
        <f>S325*AK325*0.000001*(6/13)</f>
        <v>2.5846153846153845E-2</v>
      </c>
      <c r="AO325" s="9">
        <f t="shared" si="101"/>
        <v>1.6153846153846158E-2</v>
      </c>
      <c r="AP325" s="5"/>
      <c r="AQ325" s="90">
        <f>($AB325*AM325+$AB326*AM326+$AB327*AM327)/100</f>
        <v>-1.3199999999999998E-2</v>
      </c>
      <c r="AR325" s="5"/>
      <c r="AS325" s="95">
        <f>($AB325*AO325+$AB326*AO326+$AB327*AO327)/100</f>
        <v>5.3307692307692327E-3</v>
      </c>
      <c r="AT325" s="5"/>
      <c r="AU325" s="10">
        <f>($AB325*R325+$AB326*R326+$AB327*R327)/100</f>
        <v>88.77</v>
      </c>
      <c r="AV325" s="11">
        <f>($AB325*S325+$AB326*S326+$AB327*S327)/100</f>
        <v>65.67</v>
      </c>
      <c r="AW325" s="12">
        <f>($AB325*T325+$AB326*T326+$AB327*T327)/100</f>
        <v>1716</v>
      </c>
      <c r="AX325" s="147">
        <f>($AB325*AK325+$AB326*AK326+$AB327*AK327)/100</f>
        <v>264</v>
      </c>
      <c r="BN325" s="17"/>
      <c r="BO325">
        <f t="shared" si="106"/>
        <v>0.17157499999999998</v>
      </c>
      <c r="BP325">
        <f t="shared" si="103"/>
        <v>0.38314999999999999</v>
      </c>
      <c r="BQ325">
        <f t="shared" si="107"/>
        <v>0.24209999999999998</v>
      </c>
      <c r="BR325">
        <f t="shared" si="108"/>
        <v>0.10105</v>
      </c>
      <c r="BS325" s="8">
        <f>($AB325*BO325+$AB326*BO326+$AB327*BO327)/100</f>
        <v>0.255107325</v>
      </c>
      <c r="BT325" s="90">
        <f>($AB325*BP325+$AB326*BP326+$AB327*BP327)/100</f>
        <v>0.52341464999999998</v>
      </c>
      <c r="BU325" s="8">
        <f>($AB325*BQ325+$AB326*BQ326+$AB327*BQ327)/100</f>
        <v>0.34454309999999999</v>
      </c>
      <c r="BV325" s="90">
        <f>($AB325*BR325+$AB326*BR326+$AB327*BR327)/100</f>
        <v>0.16567155</v>
      </c>
      <c r="BW325" s="4">
        <f t="shared" si="104"/>
        <v>180</v>
      </c>
    </row>
    <row r="326" spans="1:75" s="105" customFormat="1" thickTop="1" thickBot="1" x14ac:dyDescent="0.3">
      <c r="A326" s="123">
        <v>180</v>
      </c>
      <c r="B326" s="124">
        <v>16</v>
      </c>
      <c r="C326" s="124">
        <v>10</v>
      </c>
      <c r="D326" s="125"/>
      <c r="E326" s="104">
        <v>72</v>
      </c>
      <c r="F326" s="104">
        <v>-72</v>
      </c>
      <c r="G326" s="25">
        <f t="shared" si="109"/>
        <v>144</v>
      </c>
      <c r="H326" s="125"/>
      <c r="I326" s="126">
        <v>-50</v>
      </c>
      <c r="J326" s="3">
        <f t="shared" si="110"/>
        <v>133.046875</v>
      </c>
      <c r="K326" s="6">
        <f t="shared" si="111"/>
        <v>234</v>
      </c>
      <c r="L326" s="125"/>
      <c r="N326" s="125"/>
      <c r="O326" s="106">
        <v>0</v>
      </c>
      <c r="P326" s="107">
        <v>0</v>
      </c>
      <c r="Q326" s="125"/>
      <c r="R326" s="108">
        <v>90</v>
      </c>
      <c r="S326" s="109">
        <v>60</v>
      </c>
      <c r="T326" s="110">
        <v>1800</v>
      </c>
      <c r="U326" s="125"/>
      <c r="V326" s="127">
        <v>0</v>
      </c>
      <c r="W326" s="74" t="e">
        <f t="shared" si="112"/>
        <v>#DIV/0!</v>
      </c>
      <c r="X326" s="5">
        <v>0.14696938456699071</v>
      </c>
      <c r="Y326" s="128">
        <v>0</v>
      </c>
      <c r="Z326" s="13" t="e">
        <f t="shared" si="113"/>
        <v>#DIV/0!</v>
      </c>
      <c r="AB326" s="72">
        <v>33</v>
      </c>
      <c r="AC326" s="72">
        <v>33</v>
      </c>
      <c r="AD326"/>
      <c r="AE326" s="5">
        <f t="shared" si="105"/>
        <v>180</v>
      </c>
      <c r="AF326" s="8"/>
      <c r="AG326" s="56"/>
      <c r="AH326" s="3"/>
      <c r="AI326"/>
      <c r="AJ326" s="5"/>
      <c r="AK326" s="2">
        <v>0</v>
      </c>
      <c r="AL326" s="7">
        <f t="shared" si="99"/>
        <v>0</v>
      </c>
      <c r="AM326" s="8">
        <f t="shared" si="100"/>
        <v>0</v>
      </c>
      <c r="AN326" s="56">
        <f>S326*AK326*0.000001</f>
        <v>0</v>
      </c>
      <c r="AO326" s="9">
        <f t="shared" si="101"/>
        <v>0</v>
      </c>
      <c r="AP326" s="5"/>
      <c r="AQ326" s="90"/>
      <c r="AR326" s="5"/>
      <c r="AS326" s="95"/>
      <c r="AT326" s="5"/>
      <c r="AU326" s="10"/>
      <c r="AV326" s="11"/>
      <c r="AW326" s="12"/>
      <c r="AX326" s="147"/>
      <c r="BN326" s="5"/>
      <c r="BO326">
        <f t="shared" si="106"/>
        <v>0.27202500000000002</v>
      </c>
      <c r="BP326">
        <f t="shared" si="103"/>
        <v>0.54405000000000003</v>
      </c>
      <c r="BQ326">
        <f t="shared" si="107"/>
        <v>0.36270000000000002</v>
      </c>
      <c r="BR326">
        <f t="shared" si="108"/>
        <v>0.18135000000000001</v>
      </c>
      <c r="BS326" s="106"/>
      <c r="BT326" s="140"/>
      <c r="BU326" s="106"/>
      <c r="BV326" s="140"/>
      <c r="BW326" s="4">
        <f t="shared" si="104"/>
        <v>180</v>
      </c>
    </row>
    <row r="327" spans="1:75" s="27" customFormat="1" thickTop="1" thickBot="1" x14ac:dyDescent="0.3">
      <c r="A327" s="130">
        <v>180</v>
      </c>
      <c r="B327" s="131">
        <v>16</v>
      </c>
      <c r="C327" s="131">
        <v>10</v>
      </c>
      <c r="D327" s="23"/>
      <c r="E327" s="24">
        <v>72</v>
      </c>
      <c r="F327" s="24">
        <v>-72</v>
      </c>
      <c r="G327" s="25">
        <f t="shared" si="109"/>
        <v>144</v>
      </c>
      <c r="H327" s="23"/>
      <c r="I327" s="134">
        <v>62</v>
      </c>
      <c r="J327" s="25">
        <f t="shared" si="110"/>
        <v>137.421875</v>
      </c>
      <c r="K327" s="26">
        <f t="shared" si="111"/>
        <v>234</v>
      </c>
      <c r="L327" s="23"/>
      <c r="N327" s="23"/>
      <c r="O327" s="28">
        <v>0</v>
      </c>
      <c r="P327" s="29">
        <v>0</v>
      </c>
      <c r="Q327" s="23"/>
      <c r="R327" s="30">
        <v>109</v>
      </c>
      <c r="S327" s="31">
        <v>69</v>
      </c>
      <c r="T327" s="32">
        <v>1300</v>
      </c>
      <c r="U327" s="23"/>
      <c r="V327" s="33">
        <v>0</v>
      </c>
      <c r="W327" s="34" t="e">
        <f t="shared" si="112"/>
        <v>#DIV/0!</v>
      </c>
      <c r="X327" s="23">
        <v>0.14696938456699071</v>
      </c>
      <c r="Y327" s="55">
        <v>0</v>
      </c>
      <c r="Z327" s="34" t="e">
        <f t="shared" si="113"/>
        <v>#DIV/0!</v>
      </c>
      <c r="AB327" s="27">
        <v>33</v>
      </c>
      <c r="AC327" s="27">
        <v>33</v>
      </c>
      <c r="AE327" s="5">
        <f t="shared" si="105"/>
        <v>180</v>
      </c>
      <c r="AF327" s="28"/>
      <c r="AG327" s="55"/>
      <c r="AH327" s="25"/>
      <c r="AJ327" s="23"/>
      <c r="AK327" s="22">
        <v>0</v>
      </c>
      <c r="AL327" s="33">
        <f t="shared" si="99"/>
        <v>0</v>
      </c>
      <c r="AM327" s="28">
        <f t="shared" si="100"/>
        <v>0</v>
      </c>
      <c r="AN327" s="55">
        <f>S327*AK327*0.000001</f>
        <v>0</v>
      </c>
      <c r="AO327" s="29">
        <f t="shared" si="101"/>
        <v>0</v>
      </c>
      <c r="AP327" s="23"/>
      <c r="AQ327" s="91"/>
      <c r="AR327" s="23"/>
      <c r="AS327" s="96"/>
      <c r="AT327" s="23"/>
      <c r="AU327" s="30"/>
      <c r="AV327" s="31"/>
      <c r="AW327" s="32"/>
      <c r="AX327" s="147"/>
      <c r="BN327" s="23"/>
      <c r="BO327">
        <f t="shared" si="106"/>
        <v>0.32945249999999998</v>
      </c>
      <c r="BP327">
        <f t="shared" si="103"/>
        <v>0.65890499999999996</v>
      </c>
      <c r="BQ327">
        <f t="shared" si="107"/>
        <v>0.43926999999999999</v>
      </c>
      <c r="BR327">
        <f t="shared" si="108"/>
        <v>0.219635</v>
      </c>
      <c r="BS327" s="28"/>
      <c r="BT327" s="91"/>
      <c r="BU327" s="28"/>
      <c r="BV327" s="91"/>
      <c r="BW327" s="4">
        <f t="shared" si="104"/>
        <v>180</v>
      </c>
    </row>
    <row r="328" spans="1:75" s="105" customFormat="1" thickTop="1" thickBot="1" x14ac:dyDescent="0.3">
      <c r="A328" s="123">
        <v>628</v>
      </c>
      <c r="B328" s="124">
        <v>61</v>
      </c>
      <c r="C328" s="124">
        <v>8</v>
      </c>
      <c r="D328" s="103"/>
      <c r="E328" s="104">
        <v>66</v>
      </c>
      <c r="F328" s="104">
        <v>-74</v>
      </c>
      <c r="G328" s="129">
        <f t="shared" si="109"/>
        <v>140</v>
      </c>
      <c r="H328" s="103"/>
      <c r="I328" s="133">
        <v>0</v>
      </c>
      <c r="J328" s="18">
        <f t="shared" si="110"/>
        <v>-118.125</v>
      </c>
      <c r="K328" s="20">
        <f t="shared" si="111"/>
        <v>210</v>
      </c>
      <c r="L328" s="103"/>
      <c r="N328" s="103"/>
      <c r="O328" s="106">
        <v>0.17899999999999999</v>
      </c>
      <c r="P328" s="107">
        <v>5.5E-2</v>
      </c>
      <c r="Q328" s="103"/>
      <c r="R328" s="108">
        <v>320</v>
      </c>
      <c r="S328" s="109">
        <v>47</v>
      </c>
      <c r="T328" s="110">
        <v>5100</v>
      </c>
      <c r="U328" s="103"/>
      <c r="V328" s="127">
        <v>519</v>
      </c>
      <c r="W328" s="74">
        <f t="shared" si="112"/>
        <v>14.807694713763883</v>
      </c>
      <c r="X328" s="17">
        <v>0.14696938456699071</v>
      </c>
      <c r="Y328" s="128">
        <v>278</v>
      </c>
      <c r="Z328" s="13">
        <f t="shared" si="113"/>
        <v>0.15361354856313383</v>
      </c>
      <c r="AB328" s="72">
        <v>33</v>
      </c>
      <c r="AC328" s="72">
        <v>33</v>
      </c>
      <c r="AD328"/>
      <c r="AE328" s="5">
        <f t="shared" si="105"/>
        <v>628</v>
      </c>
      <c r="AF328" s="8">
        <f>(O328*AB328+O329*AB329+O330*AB330)/100</f>
        <v>7.6230000000000006E-2</v>
      </c>
      <c r="AG328" s="56">
        <f>(P328*AC328+P329*AC329+P330*AC330)/100</f>
        <v>2.2770000000000002E-2</v>
      </c>
      <c r="AH328" s="3">
        <f>225-5.625*($B328-0.5)</f>
        <v>-115.3125</v>
      </c>
      <c r="AI328">
        <f>K328</f>
        <v>210</v>
      </c>
      <c r="AJ328" s="5"/>
      <c r="AK328" s="132">
        <v>700</v>
      </c>
      <c r="AL328" s="7">
        <f t="shared" si="99"/>
        <v>0.22399999999999998</v>
      </c>
      <c r="AM328" s="8">
        <f t="shared" si="100"/>
        <v>-4.4999999999999984E-2</v>
      </c>
      <c r="AN328" s="56">
        <f>S328*AK328*0.000001*(6/13)</f>
        <v>1.5184615384615385E-2</v>
      </c>
      <c r="AO328" s="9">
        <f t="shared" si="101"/>
        <v>3.9815384615384614E-2</v>
      </c>
      <c r="AP328" s="5"/>
      <c r="AQ328" s="90">
        <f>($AB328*AM328+$AB329*AM329+$AB330*AM330)/100</f>
        <v>2.3100000000000052E-3</v>
      </c>
      <c r="AR328" s="5"/>
      <c r="AS328" s="95">
        <f>($AB328*AO328+$AB329*AO329+$AB330*AO330)/100</f>
        <v>1.7759076923076923E-2</v>
      </c>
      <c r="AT328" s="5"/>
      <c r="AU328" s="10">
        <f>($AB328*R328+$AB329*R329+$AB330*R330)/100</f>
        <v>227.7</v>
      </c>
      <c r="AV328" s="11">
        <f>($AB328*S328+$AB329*S329+$AB330*S330)/100</f>
        <v>54.78</v>
      </c>
      <c r="AW328" s="12">
        <f>($AB328*T328+$AB329*T329+$AB330*T330)/100</f>
        <v>2871</v>
      </c>
      <c r="AX328" s="147">
        <f>($AB328*AK328+$AB329*AK329+$AB330*AK330)/100</f>
        <v>231</v>
      </c>
      <c r="BN328" s="17"/>
      <c r="BO328">
        <f t="shared" si="106"/>
        <v>0.92219999999999991</v>
      </c>
      <c r="BP328">
        <f t="shared" si="103"/>
        <v>1.8894</v>
      </c>
      <c r="BQ328">
        <f t="shared" si="107"/>
        <v>1.2446000000000002</v>
      </c>
      <c r="BR328">
        <f t="shared" si="108"/>
        <v>0.5998</v>
      </c>
      <c r="BS328" s="8">
        <f>($AB328*BO328+$AB329*BO329+$AB330*BO330)/100</f>
        <v>0.69053324999999988</v>
      </c>
      <c r="BT328" s="90">
        <f>($AB328*BP328+$AB329*BP329+$AB330*BP330)/100</f>
        <v>1.3787565000000002</v>
      </c>
      <c r="BU328" s="8">
        <f>($AB328*BQ328+$AB329*BQ329+$AB330*BQ330)/100</f>
        <v>0.91994100000000001</v>
      </c>
      <c r="BV328" s="90">
        <f>($AB328*BR328+$AB329*BR329+$AB330*BR330)/100</f>
        <v>0.46112549999999997</v>
      </c>
      <c r="BW328" s="4">
        <f t="shared" si="104"/>
        <v>628</v>
      </c>
    </row>
    <row r="329" spans="1:75" s="105" customFormat="1" thickTop="1" thickBot="1" x14ac:dyDescent="0.3">
      <c r="A329" s="123">
        <v>628</v>
      </c>
      <c r="B329" s="124">
        <v>61</v>
      </c>
      <c r="C329" s="124">
        <v>8</v>
      </c>
      <c r="D329" s="125"/>
      <c r="E329" s="104">
        <v>66</v>
      </c>
      <c r="F329" s="104">
        <v>-74</v>
      </c>
      <c r="G329" s="25">
        <f t="shared" si="109"/>
        <v>140</v>
      </c>
      <c r="H329" s="125"/>
      <c r="I329" s="126">
        <v>-50</v>
      </c>
      <c r="J329" s="3">
        <f t="shared" si="110"/>
        <v>-120.13392857142856</v>
      </c>
      <c r="K329" s="6">
        <f t="shared" si="111"/>
        <v>210</v>
      </c>
      <c r="L329" s="125"/>
      <c r="N329" s="125"/>
      <c r="O329" s="106">
        <v>5.1999999999999998E-2</v>
      </c>
      <c r="P329" s="107">
        <v>1.4E-2</v>
      </c>
      <c r="Q329" s="125"/>
      <c r="R329" s="108">
        <v>70</v>
      </c>
      <c r="S329" s="109">
        <v>19</v>
      </c>
      <c r="T329" s="110">
        <v>600</v>
      </c>
      <c r="U329" s="125"/>
      <c r="V329" s="127">
        <v>216</v>
      </c>
      <c r="W329" s="74">
        <f t="shared" si="112"/>
        <v>15.693829879806151</v>
      </c>
      <c r="X329" s="5">
        <v>0.14696938456699071</v>
      </c>
      <c r="Y329" s="128">
        <v>78</v>
      </c>
      <c r="Z329" s="13">
        <f t="shared" si="113"/>
        <v>0.18116432546313532</v>
      </c>
      <c r="AB329" s="72">
        <v>33</v>
      </c>
      <c r="AC329" s="72">
        <v>33</v>
      </c>
      <c r="AD329"/>
      <c r="AE329" s="5">
        <f t="shared" si="105"/>
        <v>628</v>
      </c>
      <c r="AF329" s="8"/>
      <c r="AG329" s="56"/>
      <c r="AH329" s="3"/>
      <c r="AI329"/>
      <c r="AJ329" s="5"/>
      <c r="AK329" s="2">
        <v>0</v>
      </c>
      <c r="AL329" s="7">
        <f t="shared" si="99"/>
        <v>0</v>
      </c>
      <c r="AM329" s="8">
        <f t="shared" si="100"/>
        <v>5.1999999999999998E-2</v>
      </c>
      <c r="AN329" s="56">
        <f>S329*AK329*0.000001</f>
        <v>0</v>
      </c>
      <c r="AO329" s="9">
        <f t="shared" si="101"/>
        <v>1.4E-2</v>
      </c>
      <c r="AP329" s="5"/>
      <c r="AQ329" s="90"/>
      <c r="AR329" s="5"/>
      <c r="AS329" s="95"/>
      <c r="AT329" s="5"/>
      <c r="AU329" s="10"/>
      <c r="AV329" s="11"/>
      <c r="AW329" s="12"/>
      <c r="AX329" s="147"/>
      <c r="BN329" s="5"/>
      <c r="BO329">
        <f t="shared" si="106"/>
        <v>0.263575</v>
      </c>
      <c r="BP329">
        <f t="shared" si="103"/>
        <v>0.47515000000000002</v>
      </c>
      <c r="BQ329">
        <f t="shared" si="107"/>
        <v>0.33410000000000001</v>
      </c>
      <c r="BR329">
        <f t="shared" si="108"/>
        <v>0.19305</v>
      </c>
      <c r="BS329" s="106"/>
      <c r="BT329" s="140"/>
      <c r="BU329" s="106"/>
      <c r="BV329" s="140"/>
      <c r="BW329" s="4">
        <f t="shared" si="104"/>
        <v>628</v>
      </c>
    </row>
    <row r="330" spans="1:75" s="27" customFormat="1" thickTop="1" thickBot="1" x14ac:dyDescent="0.3">
      <c r="A330" s="130">
        <v>628</v>
      </c>
      <c r="B330" s="131">
        <v>61</v>
      </c>
      <c r="C330" s="131">
        <v>8</v>
      </c>
      <c r="D330" s="23"/>
      <c r="E330" s="24">
        <v>66</v>
      </c>
      <c r="F330" s="24">
        <v>-74</v>
      </c>
      <c r="G330" s="25">
        <f t="shared" si="109"/>
        <v>140</v>
      </c>
      <c r="H330" s="23"/>
      <c r="I330" s="134">
        <v>56</v>
      </c>
      <c r="J330" s="25">
        <f>225-5.625*(B330-0.5-(I330-0.5*G330)/G330)</f>
        <v>-115.875</v>
      </c>
      <c r="K330" s="26">
        <f t="shared" si="111"/>
        <v>210</v>
      </c>
      <c r="L330" s="23"/>
      <c r="N330" s="23"/>
      <c r="O330" s="28">
        <v>0</v>
      </c>
      <c r="P330" s="29">
        <v>0</v>
      </c>
      <c r="Q330" s="23"/>
      <c r="R330" s="30">
        <v>300</v>
      </c>
      <c r="S330" s="31">
        <v>100</v>
      </c>
      <c r="T330" s="32">
        <v>3000</v>
      </c>
      <c r="U330" s="23"/>
      <c r="V330" s="33">
        <v>0</v>
      </c>
      <c r="W330" s="34" t="e">
        <f t="shared" si="112"/>
        <v>#DIV/0!</v>
      </c>
      <c r="X330" s="23">
        <v>0.14696938456699071</v>
      </c>
      <c r="Y330" s="55">
        <v>0</v>
      </c>
      <c r="Z330" s="34" t="e">
        <f t="shared" si="113"/>
        <v>#DIV/0!</v>
      </c>
      <c r="AB330" s="27">
        <v>33</v>
      </c>
      <c r="AC330" s="27">
        <v>33</v>
      </c>
      <c r="AE330" s="5">
        <f t="shared" si="105"/>
        <v>628</v>
      </c>
      <c r="AF330" s="28"/>
      <c r="AG330" s="55"/>
      <c r="AH330" s="25"/>
      <c r="AJ330" s="23"/>
      <c r="AK330" s="22">
        <v>0</v>
      </c>
      <c r="AL330" s="33">
        <f t="shared" si="99"/>
        <v>0</v>
      </c>
      <c r="AM330" s="28">
        <f t="shared" si="100"/>
        <v>0</v>
      </c>
      <c r="AN330" s="55">
        <f>S330*AK330*0.000001</f>
        <v>0</v>
      </c>
      <c r="AO330" s="29">
        <f t="shared" si="101"/>
        <v>0</v>
      </c>
      <c r="AP330" s="23"/>
      <c r="AQ330" s="91"/>
      <c r="AR330" s="23"/>
      <c r="AS330" s="96"/>
      <c r="AT330" s="23"/>
      <c r="AU330" s="30"/>
      <c r="AV330" s="31"/>
      <c r="AW330" s="32"/>
      <c r="AX330" s="147"/>
      <c r="BN330" s="23"/>
      <c r="BO330">
        <f t="shared" si="106"/>
        <v>0.90674999999999994</v>
      </c>
      <c r="BP330">
        <f t="shared" si="103"/>
        <v>1.8134999999999999</v>
      </c>
      <c r="BQ330">
        <f t="shared" si="107"/>
        <v>1.2090000000000001</v>
      </c>
      <c r="BR330">
        <f t="shared" si="108"/>
        <v>0.60450000000000004</v>
      </c>
      <c r="BS330" s="28"/>
      <c r="BT330" s="91"/>
      <c r="BU330" s="28"/>
      <c r="BV330" s="91"/>
      <c r="BW330" s="4">
        <f t="shared" si="104"/>
        <v>628</v>
      </c>
    </row>
    <row r="331" spans="1:75" s="105" customFormat="1" thickTop="1" thickBot="1" x14ac:dyDescent="0.3">
      <c r="A331" s="123">
        <v>231</v>
      </c>
      <c r="B331" s="124">
        <v>24</v>
      </c>
      <c r="C331" s="124">
        <v>1</v>
      </c>
      <c r="D331" s="125"/>
      <c r="E331" s="104"/>
      <c r="F331" s="104"/>
      <c r="G331" s="141">
        <v>144</v>
      </c>
      <c r="H331" s="125"/>
      <c r="I331" s="133">
        <v>0</v>
      </c>
      <c r="J331" s="25">
        <f t="shared" ref="J331:J339" si="114">225-5.625*(B331-0.5-(I331-0.5*G331)/G331)</f>
        <v>90</v>
      </c>
      <c r="K331" s="142">
        <f t="shared" si="111"/>
        <v>126</v>
      </c>
      <c r="L331" s="125"/>
      <c r="N331" s="125"/>
      <c r="O331" s="106">
        <v>0.47</v>
      </c>
      <c r="P331" s="107">
        <v>0.32</v>
      </c>
      <c r="Q331" s="125"/>
      <c r="R331" s="108">
        <v>300</v>
      </c>
      <c r="S331" s="109">
        <v>100</v>
      </c>
      <c r="T331" s="110">
        <v>1000</v>
      </c>
      <c r="U331" s="125"/>
      <c r="V331" s="127"/>
      <c r="W331" s="74"/>
      <c r="X331" s="125"/>
      <c r="Y331" s="128"/>
      <c r="Z331" s="74"/>
      <c r="AE331" s="5">
        <f t="shared" si="105"/>
        <v>231</v>
      </c>
      <c r="AF331" s="106"/>
      <c r="AG331" s="128"/>
      <c r="AH331" s="141"/>
      <c r="AJ331" s="125"/>
      <c r="AK331" s="124"/>
      <c r="AL331" s="127"/>
      <c r="AM331" s="106"/>
      <c r="AN331" s="128"/>
      <c r="AO331" s="107"/>
      <c r="AP331" s="125"/>
      <c r="AQ331" s="140"/>
      <c r="AR331" s="125"/>
      <c r="AS331" s="143"/>
      <c r="AT331" s="125"/>
      <c r="AU331" s="108"/>
      <c r="AV331" s="109"/>
      <c r="AW331" s="110"/>
      <c r="AX331" s="147"/>
      <c r="BN331" s="125"/>
      <c r="BO331"/>
      <c r="BP331"/>
      <c r="BQ331"/>
      <c r="BR331"/>
      <c r="BS331" s="106"/>
      <c r="BT331" s="140"/>
      <c r="BU331" s="106"/>
      <c r="BV331" s="140"/>
      <c r="BW331" s="4">
        <f t="shared" si="104"/>
        <v>231</v>
      </c>
    </row>
    <row r="332" spans="1:75" s="105" customFormat="1" thickTop="1" thickBot="1" x14ac:dyDescent="0.3">
      <c r="A332" s="123">
        <v>231</v>
      </c>
      <c r="B332" s="124">
        <v>24</v>
      </c>
      <c r="C332" s="124">
        <v>1</v>
      </c>
      <c r="D332" s="125"/>
      <c r="E332" s="104"/>
      <c r="F332" s="104"/>
      <c r="G332" s="141">
        <v>144</v>
      </c>
      <c r="H332" s="125"/>
      <c r="I332" s="133">
        <v>-56</v>
      </c>
      <c r="J332" s="25">
        <f t="shared" si="114"/>
        <v>87.8125</v>
      </c>
      <c r="K332" s="142">
        <f t="shared" si="111"/>
        <v>126</v>
      </c>
      <c r="L332" s="125"/>
      <c r="N332" s="125"/>
      <c r="O332" s="106">
        <v>0.68</v>
      </c>
      <c r="P332" s="107">
        <v>0.55500000000000005</v>
      </c>
      <c r="Q332" s="125"/>
      <c r="R332" s="108">
        <v>250</v>
      </c>
      <c r="S332" s="109">
        <v>180</v>
      </c>
      <c r="T332" s="110">
        <v>1000</v>
      </c>
      <c r="U332" s="125"/>
      <c r="V332" s="127"/>
      <c r="W332" s="74"/>
      <c r="X332" s="125"/>
      <c r="Y332" s="128"/>
      <c r="Z332" s="74"/>
      <c r="AE332" s="5">
        <f t="shared" si="105"/>
        <v>231</v>
      </c>
      <c r="AF332" s="106"/>
      <c r="AG332" s="128"/>
      <c r="AH332" s="141"/>
      <c r="AJ332" s="125"/>
      <c r="AK332" s="124"/>
      <c r="AL332" s="127"/>
      <c r="AM332" s="106"/>
      <c r="AN332" s="128"/>
      <c r="AO332" s="107"/>
      <c r="AP332" s="125"/>
      <c r="AQ332" s="140"/>
      <c r="AR332" s="125"/>
      <c r="AS332" s="143"/>
      <c r="AT332" s="125"/>
      <c r="AU332" s="108"/>
      <c r="AV332" s="109"/>
      <c r="AW332" s="110"/>
      <c r="AX332" s="147"/>
      <c r="BN332" s="125"/>
      <c r="BO332"/>
      <c r="BP332"/>
      <c r="BQ332"/>
      <c r="BR332"/>
      <c r="BS332" s="106"/>
      <c r="BT332" s="140"/>
      <c r="BU332" s="106"/>
      <c r="BV332" s="140"/>
      <c r="BW332" s="4">
        <f t="shared" si="104"/>
        <v>231</v>
      </c>
    </row>
    <row r="333" spans="1:75" s="105" customFormat="1" thickTop="1" thickBot="1" x14ac:dyDescent="0.3">
      <c r="A333" s="123">
        <v>231</v>
      </c>
      <c r="B333" s="124">
        <v>24</v>
      </c>
      <c r="C333" s="124">
        <v>1</v>
      </c>
      <c r="D333" s="125"/>
      <c r="E333" s="104"/>
      <c r="F333" s="104"/>
      <c r="G333" s="141">
        <v>144</v>
      </c>
      <c r="H333" s="125"/>
      <c r="I333" s="133">
        <v>56</v>
      </c>
      <c r="J333" s="25">
        <f t="shared" si="114"/>
        <v>92.1875</v>
      </c>
      <c r="K333" s="142">
        <f t="shared" si="111"/>
        <v>126</v>
      </c>
      <c r="L333" s="125"/>
      <c r="N333" s="125"/>
      <c r="O333" s="106">
        <v>0.45</v>
      </c>
      <c r="P333" s="107">
        <v>0.34499999999999997</v>
      </c>
      <c r="Q333" s="125"/>
      <c r="R333" s="108">
        <v>200</v>
      </c>
      <c r="S333" s="109">
        <v>50</v>
      </c>
      <c r="T333" s="110">
        <v>1200</v>
      </c>
      <c r="U333" s="125"/>
      <c r="V333" s="127"/>
      <c r="W333" s="74"/>
      <c r="X333" s="125"/>
      <c r="Y333" s="128"/>
      <c r="Z333" s="74"/>
      <c r="AE333" s="5">
        <f t="shared" si="105"/>
        <v>231</v>
      </c>
      <c r="AF333" s="106"/>
      <c r="AG333" s="128"/>
      <c r="AH333" s="141"/>
      <c r="AJ333" s="125"/>
      <c r="AK333" s="124"/>
      <c r="AL333" s="127"/>
      <c r="AM333" s="106"/>
      <c r="AN333" s="128"/>
      <c r="AO333" s="107"/>
      <c r="AP333" s="125"/>
      <c r="AQ333" s="140"/>
      <c r="AR333" s="125"/>
      <c r="AS333" s="143"/>
      <c r="AT333" s="125"/>
      <c r="AU333" s="108"/>
      <c r="AV333" s="109"/>
      <c r="AW333" s="110"/>
      <c r="AX333" s="147"/>
      <c r="BN333" s="125"/>
      <c r="BO333"/>
      <c r="BP333"/>
      <c r="BQ333"/>
      <c r="BR333"/>
      <c r="BS333" s="106"/>
      <c r="BT333" s="140"/>
      <c r="BU333" s="106"/>
      <c r="BV333" s="140"/>
      <c r="BW333" s="4">
        <f t="shared" si="104"/>
        <v>231</v>
      </c>
    </row>
    <row r="334" spans="1:75" s="105" customFormat="1" thickTop="1" thickBot="1" x14ac:dyDescent="0.3">
      <c r="A334" s="123">
        <v>330</v>
      </c>
      <c r="B334" s="124">
        <v>33</v>
      </c>
      <c r="C334" s="124">
        <v>10</v>
      </c>
      <c r="D334" s="125"/>
      <c r="E334" s="104"/>
      <c r="F334" s="104"/>
      <c r="G334" s="141">
        <v>144</v>
      </c>
      <c r="H334" s="125"/>
      <c r="I334" s="133">
        <v>0</v>
      </c>
      <c r="J334" s="141">
        <f t="shared" si="114"/>
        <v>39.375</v>
      </c>
      <c r="K334" s="142">
        <f t="shared" si="111"/>
        <v>234</v>
      </c>
      <c r="L334" s="125"/>
      <c r="N334" s="125"/>
      <c r="O334" s="106">
        <v>1.35</v>
      </c>
      <c r="P334" s="107">
        <v>0.35</v>
      </c>
      <c r="Q334" s="125"/>
      <c r="R334" s="108">
        <v>800</v>
      </c>
      <c r="S334" s="109">
        <v>80</v>
      </c>
      <c r="T334" s="110">
        <v>5500</v>
      </c>
      <c r="U334" s="125"/>
      <c r="V334" s="127"/>
      <c r="W334" s="74"/>
      <c r="X334" s="125"/>
      <c r="Y334" s="128"/>
      <c r="Z334" s="74"/>
      <c r="AE334" s="5">
        <f t="shared" si="105"/>
        <v>330</v>
      </c>
      <c r="AF334" s="106"/>
      <c r="AG334" s="128"/>
      <c r="AH334" s="141"/>
      <c r="AJ334" s="125"/>
      <c r="AK334" s="124"/>
      <c r="AL334" s="127"/>
      <c r="AM334" s="106"/>
      <c r="AN334" s="128"/>
      <c r="AO334" s="107"/>
      <c r="AP334" s="125"/>
      <c r="AQ334" s="140"/>
      <c r="AR334" s="125"/>
      <c r="AS334" s="143"/>
      <c r="AT334" s="125"/>
      <c r="AU334" s="108"/>
      <c r="AV334" s="109"/>
      <c r="AW334" s="110"/>
      <c r="AX334" s="147"/>
      <c r="BN334" s="125"/>
      <c r="BO334"/>
      <c r="BP334"/>
      <c r="BQ334"/>
      <c r="BR334"/>
      <c r="BS334" s="106"/>
      <c r="BT334" s="140"/>
      <c r="BU334" s="106"/>
      <c r="BV334" s="140"/>
      <c r="BW334" s="4">
        <f t="shared" si="104"/>
        <v>330</v>
      </c>
    </row>
    <row r="335" spans="1:75" s="105" customFormat="1" thickTop="1" thickBot="1" x14ac:dyDescent="0.3">
      <c r="A335" s="123">
        <v>330</v>
      </c>
      <c r="B335" s="124">
        <v>33</v>
      </c>
      <c r="C335" s="124">
        <v>10</v>
      </c>
      <c r="D335" s="125"/>
      <c r="E335" s="104"/>
      <c r="F335" s="104"/>
      <c r="G335" s="141">
        <v>144</v>
      </c>
      <c r="H335" s="125"/>
      <c r="I335" s="133">
        <v>-56</v>
      </c>
      <c r="J335" s="141">
        <f t="shared" si="114"/>
        <v>37.187500000000028</v>
      </c>
      <c r="K335" s="142">
        <f t="shared" si="111"/>
        <v>234</v>
      </c>
      <c r="L335" s="125"/>
      <c r="N335" s="125"/>
      <c r="O335" s="106">
        <v>2.2000000000000002</v>
      </c>
      <c r="P335" s="107">
        <v>0.39</v>
      </c>
      <c r="Q335" s="125"/>
      <c r="R335" s="108">
        <v>1500</v>
      </c>
      <c r="S335" s="109">
        <v>190</v>
      </c>
      <c r="T335" s="110">
        <v>10000</v>
      </c>
      <c r="U335" s="125"/>
      <c r="V335" s="127"/>
      <c r="W335" s="74"/>
      <c r="X335" s="125"/>
      <c r="Y335" s="128"/>
      <c r="Z335" s="74"/>
      <c r="AE335" s="5"/>
      <c r="AF335" s="106"/>
      <c r="AG335" s="128"/>
      <c r="AH335" s="141"/>
      <c r="AJ335" s="125"/>
      <c r="AK335" s="124"/>
      <c r="AL335" s="127"/>
      <c r="AM335" s="106"/>
      <c r="AN335" s="128"/>
      <c r="AO335" s="107"/>
      <c r="AP335" s="125"/>
      <c r="AQ335" s="140"/>
      <c r="AR335" s="125"/>
      <c r="AS335" s="143"/>
      <c r="AT335" s="125"/>
      <c r="AU335" s="108"/>
      <c r="AV335" s="109"/>
      <c r="AW335" s="110"/>
      <c r="AX335" s="147"/>
      <c r="BN335" s="125"/>
      <c r="BO335"/>
      <c r="BP335"/>
      <c r="BQ335"/>
      <c r="BR335"/>
      <c r="BS335" s="106"/>
      <c r="BT335" s="140"/>
      <c r="BU335" s="106"/>
      <c r="BV335" s="140"/>
      <c r="BW335" s="4"/>
    </row>
    <row r="336" spans="1:75" s="105" customFormat="1" thickTop="1" thickBot="1" x14ac:dyDescent="0.3">
      <c r="A336" s="123">
        <v>330</v>
      </c>
      <c r="B336" s="124">
        <v>33</v>
      </c>
      <c r="C336" s="124">
        <v>10</v>
      </c>
      <c r="D336" s="125"/>
      <c r="E336" s="104"/>
      <c r="F336" s="104"/>
      <c r="G336" s="141">
        <v>144</v>
      </c>
      <c r="H336" s="125"/>
      <c r="I336" s="133">
        <v>56</v>
      </c>
      <c r="J336" s="141">
        <f t="shared" si="114"/>
        <v>41.562499999999972</v>
      </c>
      <c r="K336" s="142">
        <f t="shared" si="111"/>
        <v>234</v>
      </c>
      <c r="L336" s="125"/>
      <c r="N336" s="125"/>
      <c r="O336" s="106">
        <v>1.29</v>
      </c>
      <c r="P336" s="107">
        <v>0.33</v>
      </c>
      <c r="Q336" s="125"/>
      <c r="R336" s="108">
        <v>3100</v>
      </c>
      <c r="S336" s="109">
        <v>150</v>
      </c>
      <c r="T336" s="110">
        <v>0</v>
      </c>
      <c r="U336" s="125"/>
      <c r="V336" s="127"/>
      <c r="W336" s="74"/>
      <c r="X336" s="125"/>
      <c r="Y336" s="128"/>
      <c r="Z336" s="74"/>
      <c r="AE336" s="5"/>
      <c r="AF336" s="106"/>
      <c r="AG336" s="128"/>
      <c r="AH336" s="141"/>
      <c r="AJ336" s="125"/>
      <c r="AK336" s="124"/>
      <c r="AL336" s="127"/>
      <c r="AM336" s="106"/>
      <c r="AN336" s="128"/>
      <c r="AO336" s="107"/>
      <c r="AP336" s="125"/>
      <c r="AQ336" s="140"/>
      <c r="AR336" s="125"/>
      <c r="AS336" s="143"/>
      <c r="AT336" s="125"/>
      <c r="AU336" s="108"/>
      <c r="AV336" s="109"/>
      <c r="AW336" s="110"/>
      <c r="AX336" s="147"/>
      <c r="BN336" s="125"/>
      <c r="BO336"/>
      <c r="BP336"/>
      <c r="BQ336"/>
      <c r="BR336"/>
      <c r="BS336" s="106"/>
      <c r="BT336" s="140"/>
      <c r="BU336" s="106"/>
      <c r="BV336" s="140"/>
      <c r="BW336" s="4"/>
    </row>
    <row r="337" spans="1:75" s="105" customFormat="1" thickTop="1" thickBot="1" x14ac:dyDescent="0.3">
      <c r="A337" s="123">
        <v>350</v>
      </c>
      <c r="B337" s="124">
        <v>35</v>
      </c>
      <c r="C337" s="124">
        <v>10</v>
      </c>
      <c r="D337" s="125"/>
      <c r="E337" s="104"/>
      <c r="F337" s="104"/>
      <c r="G337" s="141">
        <v>144</v>
      </c>
      <c r="H337" s="125"/>
      <c r="I337" s="133">
        <v>0</v>
      </c>
      <c r="J337" s="141">
        <f t="shared" si="114"/>
        <v>28.125</v>
      </c>
      <c r="K337" s="142">
        <f t="shared" si="111"/>
        <v>234</v>
      </c>
      <c r="L337" s="125"/>
      <c r="N337" s="125"/>
      <c r="O337" s="106">
        <v>0.4</v>
      </c>
      <c r="P337" s="107">
        <v>7.4999999999999997E-2</v>
      </c>
      <c r="Q337" s="125"/>
      <c r="R337" s="108">
        <v>100</v>
      </c>
      <c r="S337" s="109">
        <v>70</v>
      </c>
      <c r="T337" s="110">
        <v>500</v>
      </c>
      <c r="U337" s="125"/>
      <c r="V337" s="127"/>
      <c r="W337" s="74"/>
      <c r="X337" s="125"/>
      <c r="Y337" s="128"/>
      <c r="Z337" s="74"/>
      <c r="AE337" s="5"/>
      <c r="AF337" s="106"/>
      <c r="AG337" s="128"/>
      <c r="AH337" s="141"/>
      <c r="AJ337" s="125"/>
      <c r="AK337" s="124"/>
      <c r="AL337" s="127"/>
      <c r="AM337" s="106"/>
      <c r="AN337" s="128"/>
      <c r="AO337" s="107"/>
      <c r="AP337" s="125"/>
      <c r="AQ337" s="140"/>
      <c r="AR337" s="125"/>
      <c r="AS337" s="143"/>
      <c r="AT337" s="125"/>
      <c r="AU337" s="108"/>
      <c r="AV337" s="109"/>
      <c r="AW337" s="110"/>
      <c r="AX337" s="147"/>
      <c r="BN337" s="125"/>
      <c r="BO337"/>
      <c r="BP337"/>
      <c r="BQ337"/>
      <c r="BR337"/>
      <c r="BS337" s="106"/>
      <c r="BT337" s="140"/>
      <c r="BU337" s="106"/>
      <c r="BV337" s="140"/>
      <c r="BW337" s="4"/>
    </row>
    <row r="338" spans="1:75" s="105" customFormat="1" thickTop="1" thickBot="1" x14ac:dyDescent="0.3">
      <c r="A338" s="123">
        <v>350</v>
      </c>
      <c r="B338" s="124">
        <v>35</v>
      </c>
      <c r="C338" s="124">
        <v>10</v>
      </c>
      <c r="D338" s="125"/>
      <c r="E338" s="104"/>
      <c r="F338" s="104"/>
      <c r="G338" s="141">
        <v>144</v>
      </c>
      <c r="H338" s="125"/>
      <c r="I338" s="133">
        <v>-56</v>
      </c>
      <c r="J338" s="141">
        <f t="shared" si="114"/>
        <v>25.937500000000028</v>
      </c>
      <c r="K338" s="142">
        <f t="shared" si="111"/>
        <v>234</v>
      </c>
      <c r="L338" s="125"/>
      <c r="N338" s="125"/>
      <c r="O338" s="106">
        <v>0.22</v>
      </c>
      <c r="P338" s="107">
        <v>4.2000000000000003E-2</v>
      </c>
      <c r="Q338" s="125"/>
      <c r="R338" s="108">
        <v>90</v>
      </c>
      <c r="S338" s="109">
        <v>40</v>
      </c>
      <c r="T338" s="110">
        <v>200</v>
      </c>
      <c r="U338" s="125"/>
      <c r="V338" s="127"/>
      <c r="W338" s="74"/>
      <c r="X338" s="125"/>
      <c r="Y338" s="128"/>
      <c r="Z338" s="74"/>
      <c r="AE338" s="5"/>
      <c r="AF338" s="106"/>
      <c r="AG338" s="128"/>
      <c r="AH338" s="141"/>
      <c r="AJ338" s="125"/>
      <c r="AK338" s="124"/>
      <c r="AL338" s="127"/>
      <c r="AM338" s="106"/>
      <c r="AN338" s="128"/>
      <c r="AO338" s="107"/>
      <c r="AP338" s="125"/>
      <c r="AQ338" s="140"/>
      <c r="AR338" s="125"/>
      <c r="AS338" s="143"/>
      <c r="AT338" s="125"/>
      <c r="AU338" s="108"/>
      <c r="AV338" s="109"/>
      <c r="AW338" s="110"/>
      <c r="AX338" s="147"/>
      <c r="BN338" s="125"/>
      <c r="BO338"/>
      <c r="BP338"/>
      <c r="BQ338"/>
      <c r="BR338"/>
      <c r="BS338" s="106"/>
      <c r="BT338" s="140"/>
      <c r="BU338" s="106"/>
      <c r="BV338" s="140"/>
      <c r="BW338" s="4"/>
    </row>
    <row r="339" spans="1:75" s="105" customFormat="1" thickTop="1" thickBot="1" x14ac:dyDescent="0.3">
      <c r="A339" s="123">
        <v>350</v>
      </c>
      <c r="B339" s="124">
        <v>35</v>
      </c>
      <c r="C339" s="124">
        <v>10</v>
      </c>
      <c r="D339" s="125"/>
      <c r="E339" s="104"/>
      <c r="F339" s="104"/>
      <c r="G339" s="141">
        <v>144</v>
      </c>
      <c r="H339" s="125"/>
      <c r="I339" s="133">
        <v>56</v>
      </c>
      <c r="J339" s="141">
        <f t="shared" si="114"/>
        <v>30.312499999999972</v>
      </c>
      <c r="K339" s="142">
        <f t="shared" si="111"/>
        <v>234</v>
      </c>
      <c r="L339" s="125"/>
      <c r="N339" s="125"/>
      <c r="O339" s="106">
        <v>0.26800000000000002</v>
      </c>
      <c r="P339" s="107">
        <v>3.5999999999999997E-2</v>
      </c>
      <c r="Q339" s="125"/>
      <c r="R339" s="108">
        <v>100</v>
      </c>
      <c r="S339" s="109">
        <v>35</v>
      </c>
      <c r="T339" s="110">
        <v>200</v>
      </c>
      <c r="U339" s="125"/>
      <c r="V339" s="127"/>
      <c r="W339" s="74"/>
      <c r="X339" s="125"/>
      <c r="Y339" s="128"/>
      <c r="Z339" s="74"/>
      <c r="AE339" s="5"/>
      <c r="AF339" s="106"/>
      <c r="AG339" s="128"/>
      <c r="AH339" s="141"/>
      <c r="AJ339" s="125"/>
      <c r="AK339" s="124"/>
      <c r="AL339" s="127"/>
      <c r="AM339" s="106"/>
      <c r="AN339" s="128"/>
      <c r="AO339" s="107"/>
      <c r="AP339" s="125"/>
      <c r="AQ339" s="140"/>
      <c r="AR339" s="125"/>
      <c r="AS339" s="143"/>
      <c r="AT339" s="125"/>
      <c r="AU339" s="108"/>
      <c r="AV339" s="109"/>
      <c r="AW339" s="110"/>
      <c r="AX339" s="147"/>
      <c r="BN339" s="125"/>
      <c r="BO339"/>
      <c r="BP339"/>
      <c r="BQ339"/>
      <c r="BR339"/>
      <c r="BS339" s="106"/>
      <c r="BT339" s="140"/>
      <c r="BU339" s="106"/>
      <c r="BV339" s="140"/>
      <c r="BW339" s="4"/>
    </row>
    <row r="340" spans="1:75" s="5" customFormat="1" ht="15" customHeight="1" thickTop="1" thickBot="1" x14ac:dyDescent="0.3">
      <c r="BS340" s="5">
        <f>AVERAGE(BS2:BS330)</f>
        <v>0.75497670069555212</v>
      </c>
      <c r="BT340" s="5">
        <f t="shared" ref="BT340:BV340" si="115">AVERAGE(BT2:BT330)</f>
        <v>1.2884098628034732</v>
      </c>
      <c r="BU340" s="5">
        <f t="shared" si="115"/>
        <v>0.93278775473152553</v>
      </c>
      <c r="BV340" s="5">
        <f t="shared" si="115"/>
        <v>0.57716564665957815</v>
      </c>
    </row>
    <row r="341" spans="1:75" s="98" customFormat="1" thickTop="1" thickBot="1" x14ac:dyDescent="0.3">
      <c r="O341" s="98">
        <f>AVERAGE(O2:O339)</f>
        <v>0.34052958579881665</v>
      </c>
      <c r="P341" s="98">
        <f>AVERAGE(P2:P339)</f>
        <v>8.2538928682653334E-2</v>
      </c>
      <c r="T341" s="98">
        <f>AVERAGE(T2:T339)</f>
        <v>1522.376099824028</v>
      </c>
      <c r="X341" s="5"/>
      <c r="AE341" s="98" t="s">
        <v>90</v>
      </c>
      <c r="AF341" s="98" t="s">
        <v>89</v>
      </c>
      <c r="AG341" s="98" t="s">
        <v>135</v>
      </c>
      <c r="AH341" s="98" t="s">
        <v>87</v>
      </c>
      <c r="AK341" s="98" t="s">
        <v>91</v>
      </c>
      <c r="AL341" s="98" t="s">
        <v>77</v>
      </c>
      <c r="AQ341" s="98" t="s">
        <v>92</v>
      </c>
      <c r="AS341" s="98" t="s">
        <v>93</v>
      </c>
      <c r="AU341" s="98" t="s">
        <v>94</v>
      </c>
      <c r="AV341" s="98" t="s">
        <v>95</v>
      </c>
      <c r="AW341" s="98" t="s">
        <v>96</v>
      </c>
      <c r="BN341" s="5"/>
      <c r="BQ341" s="98" t="s">
        <v>138</v>
      </c>
      <c r="BS341" s="98">
        <f>((AVERAGE(BS2:BS330)-0.6*(31*6.5*1.5/600)))*AE342</f>
        <v>39257.562033433831</v>
      </c>
      <c r="BT341" s="98">
        <f>(AVERAGE(BT2:BT330)-0.6*(31*6.5*3/600))*AE342</f>
        <v>59304.286279195258</v>
      </c>
      <c r="BU341" s="98">
        <f>(AVERAGE(BU2:BU330)-0.6*(31*6.5*2/600))*AE342</f>
        <v>45939.803448687613</v>
      </c>
      <c r="BV341" s="98">
        <f>(AVERAGE(BV2:BV330)-0.6*(31*6.5/600))*AE342</f>
        <v>32575.320618179998</v>
      </c>
    </row>
    <row r="342" spans="1:75" s="99" customFormat="1" thickTop="1" thickBot="1" x14ac:dyDescent="0.3">
      <c r="X342" s="5"/>
      <c r="AE342" s="99">
        <f>86713.6</f>
        <v>86713.600000000006</v>
      </c>
      <c r="AF342" s="99">
        <f>AVERAGE(AF2:AF315)*AE342</f>
        <v>32522.371619905687</v>
      </c>
      <c r="AG342" s="99">
        <f>AVERAGE(AG2:AG330)*AE342</f>
        <v>7899.4640492488388</v>
      </c>
      <c r="AH342" s="99">
        <f>COUNTA(AH2:AH315)</f>
        <v>94</v>
      </c>
      <c r="AK342" s="99">
        <f>AVERAGE(AK2:AK315)</f>
        <v>736.01286173633446</v>
      </c>
      <c r="AL342" s="99">
        <f>AF342-AQ342</f>
        <v>13303.000914399923</v>
      </c>
      <c r="AQ342" s="99">
        <f>AVERAGE(AQ2:AQ330)*$AE342</f>
        <v>19219.370705505764</v>
      </c>
      <c r="AS342" s="99">
        <f>AVERAGE(AS2:AS330)*$AE342</f>
        <v>4286.7221734829391</v>
      </c>
      <c r="AU342" s="99">
        <f>AVERAGE(AU2:AU315)</f>
        <v>176.60680060365965</v>
      </c>
      <c r="AV342" s="99">
        <f>AVERAGE(AV2:AV315)</f>
        <v>52.84788247500471</v>
      </c>
      <c r="AW342" s="99">
        <f>AVERAGE(AW2:AW315)</f>
        <v>1493.484616110168</v>
      </c>
      <c r="BN342" s="5"/>
      <c r="BQ342" s="99" t="s">
        <v>128</v>
      </c>
      <c r="BS342" s="99">
        <f>AVERAGE(BS2:BS330)*AE342</f>
        <v>65466.747633433835</v>
      </c>
      <c r="BT342" s="99">
        <f>AVERAGE(BT2:BT330)*AE342</f>
        <v>111722.65747919526</v>
      </c>
      <c r="BU342" s="99">
        <f>AVERAGE(BU2:BU330)*AE342</f>
        <v>80885.384248687624</v>
      </c>
      <c r="BV342" s="99">
        <f>AVERAGE(BV2:BV330)*AE342</f>
        <v>50048.111018179996</v>
      </c>
      <c r="BW342" s="99" t="s">
        <v>129</v>
      </c>
    </row>
    <row r="343" spans="1:75" s="100" customFormat="1" thickTop="1" thickBot="1" x14ac:dyDescent="0.3">
      <c r="X343" s="5"/>
      <c r="AE343" s="98" t="s">
        <v>88</v>
      </c>
      <c r="AH343" s="101">
        <f>AH342/640</f>
        <v>0.14687500000000001</v>
      </c>
      <c r="AK343" s="101"/>
      <c r="AL343" s="100">
        <f>AL342/AF342</f>
        <v>0.40904153823325939</v>
      </c>
      <c r="AQ343" s="100">
        <f>AQ342/AF342</f>
        <v>0.59095846176674061</v>
      </c>
      <c r="BN343" s="5"/>
      <c r="BQ343" s="101" t="s">
        <v>130</v>
      </c>
      <c r="BR343" s="101"/>
      <c r="BS343" s="100">
        <f>BS342/570000*100</f>
        <v>11.485394321655058</v>
      </c>
      <c r="BT343" s="100">
        <f>BT342/570000*100</f>
        <v>19.60046622442022</v>
      </c>
      <c r="BU343" s="100">
        <f>BU342/570000*100</f>
        <v>14.190418289243443</v>
      </c>
      <c r="BV343" s="100">
        <f>BV342/570000*100</f>
        <v>8.7803703540666653</v>
      </c>
      <c r="BW343" s="101" t="s">
        <v>131</v>
      </c>
    </row>
    <row r="344" spans="1:75" s="5" customFormat="1" ht="7.5" customHeight="1" thickTop="1" thickBot="1" x14ac:dyDescent="0.3"/>
    <row r="345" spans="1:75" thickTop="1" thickBot="1" x14ac:dyDescent="0.3">
      <c r="E345" s="1">
        <v>1</v>
      </c>
      <c r="O345" s="8">
        <f>MAX(O2:O339)</f>
        <v>4.67</v>
      </c>
      <c r="R345" s="10">
        <f>AVERAGE(R2:R339)</f>
        <v>179.66007474307071</v>
      </c>
      <c r="W345" s="74"/>
      <c r="AL345" s="7">
        <f>AVERAGE(AL2:AL330)</f>
        <v>0.12603804488214396</v>
      </c>
      <c r="AQ345" s="80" t="s">
        <v>97</v>
      </c>
      <c r="BQ345" s="80" t="s">
        <v>139</v>
      </c>
      <c r="BR345" s="80"/>
      <c r="BS345" s="80">
        <f>BS341/5700</f>
        <v>6.887291584812953</v>
      </c>
      <c r="BT345" s="80">
        <f>BT341/5700</f>
        <v>10.404260750736011</v>
      </c>
      <c r="BU345" s="80">
        <f t="shared" ref="BU345:BV345" si="116">BU341/5700</f>
        <v>8.0596146401206337</v>
      </c>
      <c r="BV345" s="80">
        <f t="shared" si="116"/>
        <v>5.7149685295052626</v>
      </c>
    </row>
    <row r="346" spans="1:75" thickTop="1" thickBot="1" x14ac:dyDescent="0.3">
      <c r="A346"/>
      <c r="B346"/>
      <c r="C346"/>
      <c r="D346"/>
      <c r="E346" s="1">
        <v>1</v>
      </c>
      <c r="W346" s="74"/>
      <c r="AQ346" s="80">
        <f>AQ342/(570000)</f>
        <v>3.371819422018555E-2</v>
      </c>
      <c r="AR346"/>
      <c r="AS346"/>
      <c r="AT346"/>
      <c r="AU346"/>
      <c r="AV346"/>
      <c r="AW346"/>
      <c r="AX346"/>
      <c r="BN346"/>
      <c r="BT346">
        <f>BT341/86714</f>
        <v>0.68390670801941156</v>
      </c>
    </row>
    <row r="347" spans="1:75" thickTop="1" thickBot="1" x14ac:dyDescent="0.3">
      <c r="A347"/>
      <c r="B347"/>
      <c r="C347"/>
      <c r="D347"/>
      <c r="E347" s="1">
        <v>1</v>
      </c>
      <c r="W347" s="74"/>
      <c r="AR347"/>
      <c r="AS347"/>
      <c r="AT347"/>
      <c r="AU347"/>
      <c r="AV347"/>
      <c r="AW347"/>
      <c r="AX347"/>
      <c r="BN347"/>
    </row>
    <row r="348" spans="1:75" thickTop="1" thickBot="1" x14ac:dyDescent="0.3">
      <c r="A348"/>
      <c r="B348"/>
      <c r="C348"/>
      <c r="D348"/>
      <c r="E348" s="1">
        <v>1</v>
      </c>
      <c r="W348" s="74"/>
      <c r="AR348"/>
      <c r="AS348"/>
      <c r="AT348"/>
      <c r="AU348"/>
      <c r="AV348"/>
      <c r="AW348"/>
      <c r="AX348"/>
      <c r="BN348"/>
    </row>
    <row r="349" spans="1:75" thickTop="1" thickBot="1" x14ac:dyDescent="0.3">
      <c r="A349"/>
      <c r="B349"/>
      <c r="C349"/>
      <c r="D349"/>
      <c r="E349" s="1">
        <v>1</v>
      </c>
      <c r="W349" s="74"/>
      <c r="AR349"/>
      <c r="AS349"/>
      <c r="AT349"/>
      <c r="AU349"/>
      <c r="AV349"/>
      <c r="AW349"/>
      <c r="AX349"/>
      <c r="BN349"/>
    </row>
    <row r="350" spans="1:75" thickTop="1" thickBot="1" x14ac:dyDescent="0.3">
      <c r="A350"/>
      <c r="B350"/>
      <c r="C350"/>
      <c r="D350"/>
      <c r="E350" s="1">
        <v>1</v>
      </c>
      <c r="W350" s="74"/>
      <c r="AR350"/>
      <c r="AS350"/>
      <c r="AT350"/>
      <c r="AU350"/>
      <c r="AV350"/>
      <c r="AW350"/>
      <c r="AX350"/>
      <c r="BN350"/>
    </row>
    <row r="351" spans="1:75" thickTop="1" thickBot="1" x14ac:dyDescent="0.3">
      <c r="A351"/>
      <c r="B351"/>
      <c r="C351"/>
      <c r="D351"/>
      <c r="E351" s="1">
        <v>1</v>
      </c>
      <c r="W351" s="74"/>
      <c r="AR351"/>
      <c r="AS351"/>
      <c r="AT351"/>
      <c r="AU351"/>
      <c r="AV351"/>
      <c r="AW351"/>
      <c r="AX351"/>
      <c r="BN351"/>
    </row>
    <row r="352" spans="1:75" thickTop="1" thickBot="1" x14ac:dyDescent="0.3">
      <c r="A352"/>
      <c r="B352"/>
      <c r="C352"/>
      <c r="D352"/>
      <c r="E352" s="1">
        <v>1</v>
      </c>
      <c r="W352" s="74"/>
      <c r="AR352"/>
      <c r="AS352"/>
      <c r="AT352"/>
      <c r="AU352"/>
      <c r="AV352"/>
      <c r="AW352"/>
      <c r="AX352"/>
      <c r="BN352"/>
    </row>
    <row r="353" spans="1:66" thickTop="1" thickBot="1" x14ac:dyDescent="0.3">
      <c r="A353"/>
      <c r="B353"/>
      <c r="C353"/>
      <c r="D353"/>
      <c r="E353" s="1">
        <v>1</v>
      </c>
      <c r="W353" s="74"/>
      <c r="AR353"/>
      <c r="AS353"/>
      <c r="AT353"/>
      <c r="AU353"/>
      <c r="AV353"/>
      <c r="AW353"/>
      <c r="AX353"/>
      <c r="BN353"/>
    </row>
    <row r="354" spans="1:66" thickTop="1" thickBot="1" x14ac:dyDescent="0.3">
      <c r="A354"/>
      <c r="B354"/>
      <c r="C354"/>
      <c r="D354"/>
      <c r="E354" s="1">
        <v>1</v>
      </c>
      <c r="W354" s="74"/>
      <c r="AR354"/>
      <c r="AS354"/>
      <c r="AT354"/>
      <c r="AU354"/>
      <c r="AV354"/>
      <c r="AW354"/>
      <c r="AX354"/>
      <c r="BN354"/>
    </row>
    <row r="355" spans="1:66" thickTop="1" thickBot="1" x14ac:dyDescent="0.3">
      <c r="A355"/>
      <c r="B355"/>
      <c r="C355"/>
      <c r="D355"/>
      <c r="E355" s="1">
        <v>1</v>
      </c>
      <c r="W355" s="74"/>
      <c r="AR355"/>
      <c r="AS355"/>
      <c r="AT355"/>
      <c r="AU355"/>
      <c r="AV355"/>
      <c r="AW355"/>
      <c r="AX355"/>
      <c r="BN355"/>
    </row>
    <row r="356" spans="1:66" thickTop="1" thickBot="1" x14ac:dyDescent="0.3">
      <c r="A356"/>
      <c r="B356"/>
      <c r="C356"/>
      <c r="D356"/>
      <c r="E356" s="1">
        <v>1</v>
      </c>
      <c r="W356" s="74"/>
      <c r="AR356"/>
      <c r="AS356"/>
      <c r="AT356"/>
      <c r="AU356"/>
      <c r="AV356"/>
      <c r="AW356"/>
      <c r="AX356"/>
      <c r="BN356"/>
    </row>
    <row r="357" spans="1:66" thickTop="1" thickBot="1" x14ac:dyDescent="0.3">
      <c r="A357"/>
      <c r="B357"/>
      <c r="C357"/>
      <c r="D357"/>
      <c r="E357" s="1">
        <v>1</v>
      </c>
      <c r="W357" s="74"/>
      <c r="AR357"/>
      <c r="AS357"/>
      <c r="AT357"/>
      <c r="AU357"/>
      <c r="AV357"/>
      <c r="AW357"/>
      <c r="AX357"/>
      <c r="BN357"/>
    </row>
    <row r="358" spans="1:66" thickTop="1" thickBot="1" x14ac:dyDescent="0.3">
      <c r="A358"/>
      <c r="B358"/>
      <c r="C358"/>
      <c r="D358"/>
      <c r="E358" s="1">
        <v>1</v>
      </c>
      <c r="W358" s="74"/>
      <c r="AR358"/>
      <c r="AS358"/>
      <c r="AT358"/>
      <c r="AU358"/>
      <c r="AV358"/>
      <c r="AW358"/>
      <c r="AX358"/>
      <c r="BN358"/>
    </row>
    <row r="359" spans="1:66" thickTop="1" thickBot="1" x14ac:dyDescent="0.3">
      <c r="A359"/>
      <c r="B359"/>
      <c r="C359"/>
      <c r="D359"/>
      <c r="E359" s="1">
        <v>1</v>
      </c>
      <c r="W359" s="74"/>
      <c r="AR359"/>
      <c r="AS359"/>
      <c r="AT359"/>
      <c r="AU359"/>
      <c r="AV359"/>
      <c r="AW359"/>
      <c r="AX359"/>
      <c r="BN359"/>
    </row>
    <row r="360" spans="1:66" thickTop="1" thickBot="1" x14ac:dyDescent="0.3">
      <c r="A360"/>
      <c r="B360"/>
      <c r="C360"/>
      <c r="D360"/>
      <c r="E360" s="1">
        <v>1</v>
      </c>
      <c r="W360" s="74"/>
      <c r="AR360"/>
      <c r="AS360"/>
      <c r="AT360"/>
      <c r="AU360"/>
      <c r="AV360"/>
      <c r="AW360"/>
      <c r="AX360"/>
      <c r="BA360" t="s">
        <v>140</v>
      </c>
      <c r="BB360">
        <v>240</v>
      </c>
      <c r="BC360" t="s">
        <v>142</v>
      </c>
      <c r="BN360"/>
    </row>
    <row r="361" spans="1:66" thickTop="1" thickBot="1" x14ac:dyDescent="0.3">
      <c r="A361"/>
      <c r="B361"/>
      <c r="C361"/>
      <c r="D361"/>
      <c r="E361" s="1">
        <v>1</v>
      </c>
      <c r="W361" s="74"/>
      <c r="AR361"/>
      <c r="AS361"/>
      <c r="AT361"/>
      <c r="AU361"/>
      <c r="AV361"/>
      <c r="AW361"/>
      <c r="AX361"/>
      <c r="BA361" t="s">
        <v>44</v>
      </c>
      <c r="BB361">
        <f>0.000000385766*(BB360)^4-0.000275246*(BB360)^3+0.0733532*(BB360)^2-8.64548*BB360+380.376</f>
        <v>5.4834201599994685</v>
      </c>
      <c r="BC361" t="s">
        <v>141</v>
      </c>
      <c r="BN361"/>
    </row>
    <row r="362" spans="1:66" thickTop="1" thickBot="1" x14ac:dyDescent="0.3">
      <c r="A362"/>
      <c r="B362"/>
      <c r="C362"/>
      <c r="D362"/>
      <c r="E362"/>
      <c r="F362"/>
      <c r="G362"/>
      <c r="H362"/>
      <c r="I362"/>
      <c r="J362"/>
      <c r="K362"/>
      <c r="L362"/>
      <c r="N362"/>
      <c r="O362"/>
      <c r="P362"/>
      <c r="Q362"/>
      <c r="R362"/>
      <c r="S362"/>
      <c r="T362"/>
      <c r="U362"/>
      <c r="V362"/>
      <c r="W362" s="74"/>
      <c r="X362"/>
      <c r="Y362"/>
      <c r="Z362"/>
      <c r="AE362"/>
      <c r="AF362"/>
      <c r="AG362"/>
      <c r="AH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BA362" t="s">
        <v>143</v>
      </c>
      <c r="BB362">
        <f>(0.000000385766)/5*(BB360^5)-(0.000275246)/4*(BB360^4)+(0.0733532)/3*(BB360^3)-8.64548/2*(BB360^2)+380.376*BB360</f>
        <v>13446.111559679994</v>
      </c>
      <c r="BN362"/>
    </row>
  </sheetData>
  <autoFilter ref="B1:C330">
    <sortState ref="B2:C330">
      <sortCondition ref="B1:B330"/>
    </sortState>
  </autoFilter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86"/>
  <sheetViews>
    <sheetView topLeftCell="A71" workbookViewId="0">
      <selection activeCell="L93" sqref="L93"/>
    </sheetView>
  </sheetViews>
  <sheetFormatPr defaultRowHeight="15" x14ac:dyDescent="0.25"/>
  <cols>
    <col min="1" max="1" width="12.5703125" customWidth="1"/>
    <col min="13" max="13" width="12.28515625" customWidth="1"/>
    <col min="15" max="15" width="11.140625" customWidth="1"/>
    <col min="16" max="16" width="10" customWidth="1"/>
  </cols>
  <sheetData>
    <row r="1" spans="1:3" x14ac:dyDescent="0.25">
      <c r="A1" s="78" t="s">
        <v>37</v>
      </c>
    </row>
    <row r="2" spans="1:3" ht="15.75" thickBot="1" x14ac:dyDescent="0.3">
      <c r="A2" t="s">
        <v>45</v>
      </c>
      <c r="B2" t="s">
        <v>47</v>
      </c>
    </row>
    <row r="3" spans="1:3" ht="16.5" thickTop="1" thickBot="1" x14ac:dyDescent="0.3">
      <c r="A3" s="5" t="s">
        <v>36</v>
      </c>
      <c r="B3" s="5" t="s">
        <v>38</v>
      </c>
      <c r="C3" s="5" t="s">
        <v>39</v>
      </c>
    </row>
    <row r="4" spans="1:3" ht="15.75" thickTop="1" x14ac:dyDescent="0.25">
      <c r="A4" s="2" t="s">
        <v>40</v>
      </c>
      <c r="B4" s="4">
        <v>174</v>
      </c>
      <c r="C4" s="1">
        <v>511.7</v>
      </c>
    </row>
    <row r="5" spans="1:3" x14ac:dyDescent="0.25">
      <c r="A5" s="2" t="s">
        <v>41</v>
      </c>
      <c r="B5" s="4">
        <v>262</v>
      </c>
      <c r="C5" s="1">
        <v>731.9</v>
      </c>
    </row>
    <row r="6" spans="1:3" x14ac:dyDescent="0.25">
      <c r="A6" s="2" t="s">
        <v>42</v>
      </c>
      <c r="B6" s="4"/>
      <c r="C6" s="1"/>
    </row>
    <row r="7" spans="1:3" x14ac:dyDescent="0.25">
      <c r="A7" s="2" t="s">
        <v>43</v>
      </c>
      <c r="B7" s="4">
        <v>734</v>
      </c>
      <c r="C7" s="1">
        <v>1835.9</v>
      </c>
    </row>
    <row r="8" spans="1:3" x14ac:dyDescent="0.25">
      <c r="A8" s="2" t="s">
        <v>44</v>
      </c>
      <c r="B8" s="4">
        <v>676</v>
      </c>
      <c r="C8" s="1">
        <v>1697.2</v>
      </c>
    </row>
    <row r="9" spans="1:3" x14ac:dyDescent="0.25">
      <c r="A9" s="2" t="s">
        <v>46</v>
      </c>
      <c r="B9" s="4">
        <v>436</v>
      </c>
      <c r="C9" s="1">
        <v>1137.5999999999999</v>
      </c>
    </row>
    <row r="14" spans="1:3" ht="15.75" thickBot="1" x14ac:dyDescent="0.3">
      <c r="A14" t="s">
        <v>50</v>
      </c>
      <c r="B14" t="s">
        <v>48</v>
      </c>
    </row>
    <row r="15" spans="1:3" ht="16.5" thickTop="1" thickBot="1" x14ac:dyDescent="0.3">
      <c r="A15" s="5" t="s">
        <v>36</v>
      </c>
      <c r="B15" s="5" t="s">
        <v>49</v>
      </c>
      <c r="C15" s="5" t="s">
        <v>48</v>
      </c>
    </row>
    <row r="16" spans="1:3" ht="15.75" thickTop="1" x14ac:dyDescent="0.25">
      <c r="A16" s="2" t="s">
        <v>40</v>
      </c>
      <c r="B16" s="4">
        <v>4497</v>
      </c>
      <c r="C16" s="79">
        <v>34050000000</v>
      </c>
    </row>
    <row r="17" spans="1:28" x14ac:dyDescent="0.25">
      <c r="A17" s="2" t="s">
        <v>51</v>
      </c>
      <c r="B17" s="4">
        <v>2962</v>
      </c>
      <c r="C17" s="79">
        <v>26300000000</v>
      </c>
    </row>
    <row r="18" spans="1:28" x14ac:dyDescent="0.25">
      <c r="A18" s="2"/>
      <c r="B18" s="4"/>
      <c r="C18" s="1"/>
    </row>
    <row r="19" spans="1:28" x14ac:dyDescent="0.25">
      <c r="A19" s="2" t="s">
        <v>43</v>
      </c>
      <c r="B19" s="4">
        <v>419</v>
      </c>
      <c r="C19" s="79">
        <v>2626000000</v>
      </c>
    </row>
    <row r="20" spans="1:28" x14ac:dyDescent="0.25">
      <c r="A20" s="2" t="s">
        <v>44</v>
      </c>
      <c r="B20" s="4">
        <v>715</v>
      </c>
      <c r="C20" s="79">
        <v>4447000000</v>
      </c>
    </row>
    <row r="21" spans="1:28" x14ac:dyDescent="0.25">
      <c r="A21" s="2"/>
      <c r="B21" s="4"/>
      <c r="C21" s="1"/>
    </row>
    <row r="23" spans="1:28" x14ac:dyDescent="0.25">
      <c r="A23" s="80" t="s">
        <v>52</v>
      </c>
      <c r="B23" s="80"/>
    </row>
    <row r="24" spans="1:28" x14ac:dyDescent="0.25">
      <c r="A24" s="81" t="s">
        <v>49</v>
      </c>
      <c r="B24" s="4">
        <v>6549</v>
      </c>
    </row>
    <row r="25" spans="1:28" x14ac:dyDescent="0.25">
      <c r="A25" s="81" t="s">
        <v>48</v>
      </c>
      <c r="B25" s="3">
        <f>8000000*B24</f>
        <v>52392000000</v>
      </c>
    </row>
    <row r="28" spans="1:28" ht="15.75" thickBot="1" x14ac:dyDescent="0.3"/>
    <row r="29" spans="1:28" s="5" customFormat="1" ht="16.5" thickTop="1" thickBot="1" x14ac:dyDescent="0.3"/>
    <row r="30" spans="1:28" ht="16.5" thickTop="1" thickBot="1" x14ac:dyDescent="0.3"/>
    <row r="31" spans="1:28" ht="16.5" thickTop="1" thickBot="1" x14ac:dyDescent="0.3">
      <c r="O31" s="5" t="s">
        <v>110</v>
      </c>
      <c r="P31" s="5"/>
      <c r="Q31" s="5"/>
      <c r="AA31" t="s">
        <v>112</v>
      </c>
      <c r="AB31" t="s">
        <v>116</v>
      </c>
    </row>
    <row r="32" spans="1:28" ht="16.5" thickTop="1" thickBot="1" x14ac:dyDescent="0.3">
      <c r="A32" s="5" t="s">
        <v>107</v>
      </c>
      <c r="B32" s="5"/>
      <c r="C32" s="5" t="s">
        <v>109</v>
      </c>
      <c r="D32" s="5"/>
      <c r="O32" s="5" t="s">
        <v>36</v>
      </c>
      <c r="P32" s="5" t="s">
        <v>111</v>
      </c>
      <c r="Q32" s="5" t="s">
        <v>112</v>
      </c>
      <c r="AA32" s="135">
        <v>287000000000</v>
      </c>
      <c r="AB32">
        <v>460</v>
      </c>
    </row>
    <row r="33" spans="1:28" ht="16.5" thickTop="1" thickBot="1" x14ac:dyDescent="0.3">
      <c r="A33" s="5" t="s">
        <v>36</v>
      </c>
      <c r="B33" s="5" t="s">
        <v>38</v>
      </c>
      <c r="C33" s="5" t="s">
        <v>108</v>
      </c>
      <c r="D33" s="5"/>
      <c r="O33" s="2" t="s">
        <v>40</v>
      </c>
      <c r="P33" s="4">
        <v>476025</v>
      </c>
      <c r="Q33" s="79">
        <v>110100000000</v>
      </c>
      <c r="AA33" s="135">
        <v>318300000000</v>
      </c>
      <c r="AB33">
        <v>590</v>
      </c>
    </row>
    <row r="34" spans="1:28" ht="15.75" thickTop="1" x14ac:dyDescent="0.25">
      <c r="A34" s="2" t="s">
        <v>40</v>
      </c>
      <c r="B34" s="4">
        <v>81</v>
      </c>
      <c r="C34" s="1">
        <v>511.7</v>
      </c>
      <c r="D34" s="1"/>
      <c r="O34" s="2" t="s">
        <v>46</v>
      </c>
      <c r="P34" s="4">
        <v>194051</v>
      </c>
      <c r="Q34" s="79">
        <v>34390000000</v>
      </c>
      <c r="AA34" s="135">
        <v>263200000000</v>
      </c>
      <c r="AB34">
        <v>480</v>
      </c>
    </row>
    <row r="35" spans="1:28" x14ac:dyDescent="0.25">
      <c r="A35" s="2" t="s">
        <v>41</v>
      </c>
      <c r="B35" s="4"/>
      <c r="C35" s="1">
        <v>731.9</v>
      </c>
      <c r="D35" s="1"/>
      <c r="O35" s="2" t="s">
        <v>44</v>
      </c>
      <c r="P35" s="4">
        <v>141109</v>
      </c>
      <c r="Q35" s="79">
        <v>15220000000</v>
      </c>
      <c r="AA35" s="135">
        <v>375500000000</v>
      </c>
      <c r="AB35">
        <v>730</v>
      </c>
    </row>
    <row r="36" spans="1:28" x14ac:dyDescent="0.25">
      <c r="A36" s="2" t="s">
        <v>44</v>
      </c>
      <c r="B36" s="4">
        <v>329</v>
      </c>
      <c r="C36" s="1">
        <v>1697.2</v>
      </c>
      <c r="D36" s="1"/>
      <c r="O36" s="2" t="s">
        <v>43</v>
      </c>
      <c r="P36" s="4">
        <v>75432</v>
      </c>
      <c r="Q36" s="79">
        <v>5794000000</v>
      </c>
    </row>
    <row r="37" spans="1:28" x14ac:dyDescent="0.25">
      <c r="A37" s="2" t="s">
        <v>46</v>
      </c>
      <c r="B37" s="4">
        <v>215</v>
      </c>
      <c r="C37" s="1">
        <v>1137.5999999999999</v>
      </c>
      <c r="D37" s="1"/>
    </row>
    <row r="38" spans="1:28" x14ac:dyDescent="0.25">
      <c r="A38" s="2" t="s">
        <v>43</v>
      </c>
      <c r="B38" s="4">
        <v>358</v>
      </c>
      <c r="C38" s="1">
        <v>1835.9</v>
      </c>
      <c r="D38" s="1"/>
    </row>
    <row r="39" spans="1:28" x14ac:dyDescent="0.25">
      <c r="O39" s="74" t="s">
        <v>113</v>
      </c>
      <c r="P39" s="13"/>
      <c r="Q39" s="13"/>
    </row>
    <row r="40" spans="1:28" x14ac:dyDescent="0.25">
      <c r="O40" s="74" t="s">
        <v>114</v>
      </c>
      <c r="P40" s="4">
        <v>622253</v>
      </c>
      <c r="Q40" s="13"/>
    </row>
    <row r="41" spans="1:28" x14ac:dyDescent="0.25">
      <c r="O41" s="74" t="s">
        <v>115</v>
      </c>
      <c r="P41" s="3">
        <f>212755*P40</f>
        <v>132387437015</v>
      </c>
      <c r="Q41" s="13"/>
    </row>
    <row r="42" spans="1:28" x14ac:dyDescent="0.25">
      <c r="O42" s="13"/>
      <c r="P42" s="13"/>
      <c r="Q42" s="13"/>
    </row>
    <row r="45" spans="1:28" ht="15.75" thickBot="1" x14ac:dyDescent="0.3"/>
    <row r="46" spans="1:28" s="5" customFormat="1" ht="16.5" thickTop="1" thickBot="1" x14ac:dyDescent="0.3">
      <c r="A46" s="5" t="s">
        <v>117</v>
      </c>
      <c r="B46" s="5" t="s">
        <v>118</v>
      </c>
      <c r="C46" s="5" t="s">
        <v>119</v>
      </c>
    </row>
    <row r="47" spans="1:28" ht="16.5" thickTop="1" thickBot="1" x14ac:dyDescent="0.3">
      <c r="A47" s="5" t="s">
        <v>122</v>
      </c>
      <c r="B47" s="5"/>
      <c r="C47" s="5"/>
      <c r="D47" s="5"/>
      <c r="E47" s="5"/>
    </row>
    <row r="48" spans="1:28" ht="16.5" thickTop="1" thickBot="1" x14ac:dyDescent="0.3">
      <c r="A48" s="5" t="s">
        <v>120</v>
      </c>
      <c r="B48" s="5"/>
      <c r="C48" s="5"/>
      <c r="D48" s="5"/>
      <c r="E48" s="5"/>
      <c r="P48" s="5" t="s">
        <v>110</v>
      </c>
      <c r="Q48" s="5"/>
    </row>
    <row r="49" spans="1:17" ht="16.5" thickTop="1" thickBot="1" x14ac:dyDescent="0.3">
      <c r="A49" s="5" t="s">
        <v>36</v>
      </c>
      <c r="B49" s="5" t="s">
        <v>108</v>
      </c>
      <c r="C49" s="5"/>
      <c r="D49" s="5" t="s">
        <v>45</v>
      </c>
      <c r="E49" s="5" t="s">
        <v>109</v>
      </c>
      <c r="P49" s="5" t="s">
        <v>111</v>
      </c>
      <c r="Q49" s="5" t="s">
        <v>112</v>
      </c>
    </row>
    <row r="50" spans="1:17" ht="15.75" thickTop="1" x14ac:dyDescent="0.25">
      <c r="A50" s="2" t="s">
        <v>40</v>
      </c>
      <c r="B50" s="1">
        <v>1436.8</v>
      </c>
      <c r="D50" s="4">
        <v>238</v>
      </c>
      <c r="E50" s="4">
        <v>214</v>
      </c>
      <c r="O50" t="s">
        <v>40</v>
      </c>
      <c r="P50" s="4">
        <v>3641</v>
      </c>
      <c r="Q50" s="137">
        <v>11510000000</v>
      </c>
    </row>
    <row r="51" spans="1:17" x14ac:dyDescent="0.25">
      <c r="A51" s="2" t="s">
        <v>121</v>
      </c>
      <c r="B51" s="1">
        <v>1879.1</v>
      </c>
      <c r="D51" s="4">
        <v>316</v>
      </c>
      <c r="E51" s="4">
        <v>284</v>
      </c>
      <c r="O51" t="s">
        <v>42</v>
      </c>
      <c r="P51" s="4">
        <v>11358</v>
      </c>
      <c r="Q51" s="136">
        <v>43180000000</v>
      </c>
    </row>
    <row r="52" spans="1:17" x14ac:dyDescent="0.25">
      <c r="A52" s="2" t="s">
        <v>42</v>
      </c>
      <c r="B52" s="1">
        <v>1286.0999999999999</v>
      </c>
      <c r="D52" s="4">
        <v>211</v>
      </c>
      <c r="E52" s="4">
        <v>190</v>
      </c>
      <c r="O52" t="s">
        <v>121</v>
      </c>
      <c r="P52" s="4">
        <v>3135</v>
      </c>
      <c r="Q52" s="138">
        <v>7491000000</v>
      </c>
    </row>
    <row r="53" spans="1:17" x14ac:dyDescent="0.25">
      <c r="A53" s="2" t="s">
        <v>44</v>
      </c>
      <c r="B53" s="1">
        <v>1919.1</v>
      </c>
      <c r="D53" s="4">
        <v>321</v>
      </c>
      <c r="E53" s="4">
        <v>290</v>
      </c>
      <c r="O53" t="s">
        <v>44</v>
      </c>
      <c r="P53" s="4">
        <v>6013</v>
      </c>
      <c r="Q53" s="79">
        <v>17400000000</v>
      </c>
    </row>
    <row r="54" spans="1:17" x14ac:dyDescent="0.25">
      <c r="A54" s="2" t="s">
        <v>43</v>
      </c>
      <c r="B54" s="1">
        <v>1957.4</v>
      </c>
      <c r="D54" s="4">
        <v>328</v>
      </c>
      <c r="E54" s="4">
        <v>296</v>
      </c>
      <c r="O54" t="s">
        <v>43</v>
      </c>
      <c r="P54" s="4">
        <v>3255</v>
      </c>
      <c r="Q54" s="138">
        <v>6193000000</v>
      </c>
    </row>
    <row r="55" spans="1:17" x14ac:dyDescent="0.25">
      <c r="O55" t="s">
        <v>46</v>
      </c>
      <c r="P55" s="4">
        <v>11002</v>
      </c>
      <c r="Q55" s="79">
        <v>36930000000</v>
      </c>
    </row>
    <row r="58" spans="1:17" x14ac:dyDescent="0.25">
      <c r="O58" s="80" t="s">
        <v>123</v>
      </c>
      <c r="P58" s="80"/>
      <c r="Q58" s="80"/>
    </row>
    <row r="59" spans="1:17" x14ac:dyDescent="0.25">
      <c r="O59" s="80" t="s">
        <v>111</v>
      </c>
      <c r="P59" s="4"/>
      <c r="Q59" s="80"/>
    </row>
    <row r="60" spans="1:17" x14ac:dyDescent="0.25">
      <c r="O60" s="80" t="s">
        <v>112</v>
      </c>
      <c r="P60" s="3">
        <f>3000000*P59</f>
        <v>0</v>
      </c>
      <c r="Q60" s="80"/>
    </row>
    <row r="62" spans="1:17" ht="15.75" thickBot="1" x14ac:dyDescent="0.3"/>
    <row r="63" spans="1:17" s="5" customFormat="1" ht="16.5" thickTop="1" thickBot="1" x14ac:dyDescent="0.3">
      <c r="A63" s="144">
        <v>42845</v>
      </c>
      <c r="B63" s="5" t="s">
        <v>144</v>
      </c>
    </row>
    <row r="64" spans="1:17" ht="16.5" thickTop="1" thickBot="1" x14ac:dyDescent="0.3">
      <c r="A64" t="s">
        <v>45</v>
      </c>
      <c r="B64" t="s">
        <v>145</v>
      </c>
      <c r="C64" t="s">
        <v>146</v>
      </c>
      <c r="L64" s="5"/>
      <c r="M64" t="s">
        <v>147</v>
      </c>
      <c r="N64" t="s">
        <v>109</v>
      </c>
      <c r="O64" t="s">
        <v>48</v>
      </c>
    </row>
    <row r="65" spans="1:15" ht="16.5" thickTop="1" thickBot="1" x14ac:dyDescent="0.3">
      <c r="A65" t="s">
        <v>40</v>
      </c>
      <c r="B65">
        <v>87</v>
      </c>
      <c r="C65">
        <v>512</v>
      </c>
      <c r="L65" s="5"/>
      <c r="M65" t="s">
        <v>40</v>
      </c>
      <c r="N65">
        <v>2529</v>
      </c>
      <c r="O65" s="135">
        <v>48100000000</v>
      </c>
    </row>
    <row r="66" spans="1:15" ht="16.5" thickTop="1" thickBot="1" x14ac:dyDescent="0.3">
      <c r="A66" t="s">
        <v>41</v>
      </c>
      <c r="B66">
        <v>141</v>
      </c>
      <c r="C66">
        <v>732</v>
      </c>
      <c r="L66" s="5"/>
      <c r="M66" t="s">
        <v>148</v>
      </c>
      <c r="N66">
        <v>4157</v>
      </c>
      <c r="O66" s="135">
        <v>80790000000</v>
      </c>
    </row>
    <row r="67" spans="1:15" ht="16.5" thickTop="1" thickBot="1" x14ac:dyDescent="0.3">
      <c r="A67" t="s">
        <v>149</v>
      </c>
      <c r="B67">
        <v>229</v>
      </c>
      <c r="C67">
        <v>1111</v>
      </c>
      <c r="L67" s="5"/>
      <c r="M67" t="s">
        <v>150</v>
      </c>
      <c r="N67">
        <v>4515</v>
      </c>
      <c r="O67" s="135">
        <v>68490000000</v>
      </c>
    </row>
    <row r="68" spans="1:15" ht="16.5" thickTop="1" thickBot="1" x14ac:dyDescent="0.3">
      <c r="A68" t="s">
        <v>121</v>
      </c>
      <c r="B68">
        <v>327</v>
      </c>
      <c r="C68">
        <v>1561</v>
      </c>
      <c r="L68" s="5"/>
      <c r="M68" t="s">
        <v>151</v>
      </c>
      <c r="N68">
        <v>3217</v>
      </c>
      <c r="O68" s="135">
        <v>52300000000</v>
      </c>
    </row>
    <row r="69" spans="1:15" ht="16.5" thickTop="1" thickBot="1" x14ac:dyDescent="0.3">
      <c r="A69" t="s">
        <v>152</v>
      </c>
      <c r="B69">
        <v>330</v>
      </c>
      <c r="C69">
        <v>1572</v>
      </c>
      <c r="L69" s="5"/>
      <c r="M69" t="s">
        <v>44</v>
      </c>
      <c r="N69">
        <v>1624</v>
      </c>
      <c r="O69" s="135">
        <v>23730000000</v>
      </c>
    </row>
    <row r="70" spans="1:15" ht="16.5" thickTop="1" thickBot="1" x14ac:dyDescent="0.3">
      <c r="A70" t="s">
        <v>151</v>
      </c>
      <c r="B70">
        <v>354</v>
      </c>
      <c r="C70">
        <v>1683</v>
      </c>
      <c r="L70" s="5"/>
      <c r="M70" t="s">
        <v>43</v>
      </c>
      <c r="N70">
        <v>767</v>
      </c>
      <c r="O70" s="135">
        <v>9724000000</v>
      </c>
    </row>
    <row r="71" spans="1:15" ht="16.5" thickTop="1" thickBot="1" x14ac:dyDescent="0.3">
      <c r="A71" t="s">
        <v>44</v>
      </c>
      <c r="B71">
        <v>358</v>
      </c>
      <c r="C71">
        <v>1697</v>
      </c>
      <c r="L71" s="5"/>
      <c r="M71" s="5" t="s">
        <v>153</v>
      </c>
      <c r="N71" s="5"/>
      <c r="O71" s="5"/>
    </row>
    <row r="72" spans="1:15" ht="16.5" thickTop="1" thickBot="1" x14ac:dyDescent="0.3">
      <c r="A72" t="s">
        <v>43</v>
      </c>
      <c r="B72">
        <v>389</v>
      </c>
      <c r="C72">
        <v>1836</v>
      </c>
      <c r="L72" s="5"/>
      <c r="M72" s="5" t="s">
        <v>154</v>
      </c>
      <c r="N72" s="5"/>
      <c r="O72" s="4">
        <v>18106</v>
      </c>
    </row>
    <row r="73" spans="1:15" ht="16.5" thickTop="1" thickBot="1" x14ac:dyDescent="0.3">
      <c r="L73" s="5"/>
      <c r="M73" s="5" t="s">
        <v>48</v>
      </c>
      <c r="N73" s="5"/>
      <c r="O73" s="145">
        <f>O72*17020000</f>
        <v>308164120000</v>
      </c>
    </row>
    <row r="74" spans="1:15" s="5" customFormat="1" ht="16.5" thickTop="1" thickBot="1" x14ac:dyDescent="0.3">
      <c r="A74" s="144">
        <v>42846</v>
      </c>
    </row>
    <row r="75" spans="1:15" ht="15.75" thickTop="1" x14ac:dyDescent="0.25">
      <c r="B75" t="s">
        <v>45</v>
      </c>
      <c r="C75" t="s">
        <v>146</v>
      </c>
      <c r="M75" t="s">
        <v>110</v>
      </c>
      <c r="N75" t="s">
        <v>48</v>
      </c>
    </row>
    <row r="76" spans="1:15" x14ac:dyDescent="0.25">
      <c r="A76" s="4" t="s">
        <v>43</v>
      </c>
      <c r="B76">
        <v>202</v>
      </c>
      <c r="C76" s="1">
        <v>2625</v>
      </c>
      <c r="L76" t="s">
        <v>40</v>
      </c>
      <c r="M76">
        <v>33420</v>
      </c>
      <c r="N76" s="135">
        <v>506800000000</v>
      </c>
    </row>
    <row r="77" spans="1:15" x14ac:dyDescent="0.25">
      <c r="A77" s="4" t="s">
        <v>155</v>
      </c>
      <c r="B77">
        <v>783</v>
      </c>
      <c r="C77" s="1">
        <v>9848</v>
      </c>
      <c r="L77" t="s">
        <v>43</v>
      </c>
      <c r="M77">
        <v>1760</v>
      </c>
      <c r="N77" s="135">
        <v>14220000000</v>
      </c>
    </row>
    <row r="78" spans="1:15" x14ac:dyDescent="0.25">
      <c r="A78" s="4" t="s">
        <v>156</v>
      </c>
      <c r="B78">
        <v>638</v>
      </c>
      <c r="C78" s="1">
        <v>8038</v>
      </c>
      <c r="L78" t="s">
        <v>42</v>
      </c>
      <c r="M78">
        <v>1289</v>
      </c>
      <c r="N78" s="135">
        <v>142500000000</v>
      </c>
    </row>
    <row r="79" spans="1:15" x14ac:dyDescent="0.25">
      <c r="A79" s="4" t="s">
        <v>157</v>
      </c>
      <c r="B79">
        <v>902</v>
      </c>
      <c r="C79" s="1">
        <v>11424</v>
      </c>
    </row>
    <row r="80" spans="1:15" x14ac:dyDescent="0.25">
      <c r="A80" s="4" t="s">
        <v>158</v>
      </c>
      <c r="B80">
        <v>443</v>
      </c>
      <c r="C80" s="1">
        <v>5618</v>
      </c>
    </row>
    <row r="81" spans="1:14" x14ac:dyDescent="0.25">
      <c r="A81" s="4" t="s">
        <v>159</v>
      </c>
      <c r="B81">
        <v>283</v>
      </c>
      <c r="C81" s="1">
        <v>3635</v>
      </c>
      <c r="L81" t="s">
        <v>148</v>
      </c>
      <c r="M81">
        <v>23115</v>
      </c>
      <c r="N81" s="135">
        <v>68200000000</v>
      </c>
    </row>
    <row r="82" spans="1:14" ht="15.75" thickBot="1" x14ac:dyDescent="0.3">
      <c r="A82" s="146" t="s">
        <v>149</v>
      </c>
      <c r="B82">
        <v>137</v>
      </c>
      <c r="C82" s="1">
        <v>1800</v>
      </c>
    </row>
    <row r="83" spans="1:14" ht="16.5" thickTop="1" thickBot="1" x14ac:dyDescent="0.3">
      <c r="A83" s="146" t="s">
        <v>41</v>
      </c>
      <c r="B83">
        <v>98</v>
      </c>
      <c r="C83" s="1">
        <v>1322</v>
      </c>
      <c r="L83" s="5" t="s">
        <v>160</v>
      </c>
      <c r="M83" s="5"/>
    </row>
    <row r="84" spans="1:14" ht="16.5" thickTop="1" thickBot="1" x14ac:dyDescent="0.3">
      <c r="L84" s="5" t="s">
        <v>110</v>
      </c>
      <c r="M84" s="4">
        <v>90187</v>
      </c>
    </row>
    <row r="85" spans="1:14" ht="16.5" thickTop="1" thickBot="1" x14ac:dyDescent="0.3">
      <c r="L85" s="5" t="s">
        <v>48</v>
      </c>
      <c r="M85" s="145">
        <f>M84*15290000</f>
        <v>1378959230000</v>
      </c>
    </row>
    <row r="86" spans="1:14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4"/>
  <sheetViews>
    <sheetView workbookViewId="0">
      <selection activeCell="C2" sqref="C2"/>
    </sheetView>
  </sheetViews>
  <sheetFormatPr defaultRowHeight="15" x14ac:dyDescent="0.25"/>
  <cols>
    <col min="1" max="1" width="9.140625" style="3"/>
    <col min="3" max="3" width="11.85546875" style="90" customWidth="1"/>
    <col min="4" max="4" width="12" style="95" customWidth="1"/>
    <col min="5" max="5" width="11.5703125" style="10" customWidth="1"/>
    <col min="6" max="6" width="10.85546875" style="11" customWidth="1"/>
    <col min="7" max="7" width="11.140625" style="12" customWidth="1"/>
  </cols>
  <sheetData>
    <row r="1" spans="1:9" ht="16.5" thickTop="1" thickBot="1" x14ac:dyDescent="0.3">
      <c r="A1" s="5" t="s">
        <v>74</v>
      </c>
      <c r="B1" s="5" t="s">
        <v>75</v>
      </c>
      <c r="C1" s="5" t="s">
        <v>82</v>
      </c>
      <c r="D1" s="5" t="s">
        <v>83</v>
      </c>
      <c r="E1" s="5" t="s">
        <v>84</v>
      </c>
      <c r="F1" s="5" t="s">
        <v>85</v>
      </c>
      <c r="G1" s="5" t="s">
        <v>86</v>
      </c>
      <c r="H1" s="5" t="s">
        <v>1</v>
      </c>
      <c r="I1" s="5" t="s">
        <v>2</v>
      </c>
    </row>
    <row r="2" spans="1:9" ht="15.75" thickTop="1" x14ac:dyDescent="0.25">
      <c r="A2" s="3">
        <v>222.1875</v>
      </c>
      <c r="B2">
        <v>174</v>
      </c>
      <c r="C2" s="90">
        <v>0.11559999999999998</v>
      </c>
      <c r="D2" s="95">
        <v>2.3399999999999997E-2</v>
      </c>
      <c r="E2" s="10">
        <v>225.5</v>
      </c>
      <c r="F2" s="11">
        <v>0</v>
      </c>
      <c r="G2" s="12">
        <v>0</v>
      </c>
      <c r="H2" s="2">
        <v>1</v>
      </c>
      <c r="I2" s="2">
        <v>5</v>
      </c>
    </row>
    <row r="3" spans="1:9" x14ac:dyDescent="0.25">
      <c r="A3" s="3">
        <v>194.0625</v>
      </c>
      <c r="B3">
        <v>174</v>
      </c>
      <c r="C3" s="90">
        <v>0.21014999999999998</v>
      </c>
      <c r="D3" s="95">
        <v>9.5449999999999993E-2</v>
      </c>
      <c r="E3" s="10">
        <v>181</v>
      </c>
      <c r="F3" s="11">
        <v>0</v>
      </c>
      <c r="G3" s="12">
        <v>0</v>
      </c>
      <c r="H3" s="16">
        <v>6</v>
      </c>
      <c r="I3" s="16">
        <v>5</v>
      </c>
    </row>
    <row r="4" spans="1:9" x14ac:dyDescent="0.25">
      <c r="A4" s="3">
        <v>188.4375</v>
      </c>
      <c r="B4">
        <v>162</v>
      </c>
      <c r="C4" s="90">
        <v>0.2084</v>
      </c>
      <c r="D4" s="95">
        <v>0.15035000000000001</v>
      </c>
      <c r="E4" s="10">
        <v>119.25</v>
      </c>
      <c r="F4" s="11">
        <v>0</v>
      </c>
      <c r="G4" s="12">
        <v>0</v>
      </c>
      <c r="H4" s="16">
        <v>7</v>
      </c>
      <c r="I4" s="16">
        <v>4</v>
      </c>
    </row>
    <row r="5" spans="1:9" x14ac:dyDescent="0.25">
      <c r="A5" s="3">
        <v>188.4375</v>
      </c>
      <c r="B5">
        <v>174</v>
      </c>
      <c r="C5" s="90">
        <v>0.14180000000000001</v>
      </c>
      <c r="D5" s="95">
        <v>1.9300000000000001E-2</v>
      </c>
      <c r="E5" s="10">
        <v>158</v>
      </c>
      <c r="F5" s="11">
        <v>41</v>
      </c>
      <c r="G5" s="12">
        <v>1160</v>
      </c>
      <c r="H5" s="16">
        <v>7</v>
      </c>
      <c r="I5" s="16">
        <v>5</v>
      </c>
    </row>
    <row r="6" spans="1:9" x14ac:dyDescent="0.25">
      <c r="A6" s="3">
        <v>149.0625</v>
      </c>
      <c r="B6">
        <v>174</v>
      </c>
      <c r="C6" s="90">
        <v>0.10920000000000001</v>
      </c>
      <c r="D6" s="95">
        <v>4.9299999999999997E-2</v>
      </c>
      <c r="E6" s="10">
        <v>205</v>
      </c>
      <c r="F6" s="11">
        <v>41</v>
      </c>
      <c r="G6" s="12">
        <v>755</v>
      </c>
      <c r="H6" s="16">
        <v>14</v>
      </c>
      <c r="I6" s="16">
        <v>5</v>
      </c>
    </row>
    <row r="7" spans="1:9" x14ac:dyDescent="0.25">
      <c r="A7" s="3">
        <v>149.0625</v>
      </c>
      <c r="B7">
        <v>186</v>
      </c>
      <c r="C7" s="90">
        <v>0.38339999999999996</v>
      </c>
      <c r="D7" s="95">
        <v>2.495E-2</v>
      </c>
      <c r="E7" s="10">
        <v>216</v>
      </c>
      <c r="F7" s="11">
        <v>45</v>
      </c>
      <c r="G7" s="12">
        <v>1600</v>
      </c>
      <c r="H7" s="16">
        <v>14</v>
      </c>
      <c r="I7" s="16">
        <v>6</v>
      </c>
    </row>
    <row r="8" spans="1:9" x14ac:dyDescent="0.25">
      <c r="A8" s="3">
        <v>143.4375</v>
      </c>
      <c r="B8">
        <v>162</v>
      </c>
      <c r="C8" s="90">
        <v>0.22609999999999997</v>
      </c>
      <c r="D8" s="95">
        <v>-5.2350000000000001E-2</v>
      </c>
      <c r="E8" s="10">
        <v>152.19999999999999</v>
      </c>
      <c r="F8" s="11">
        <v>119.3</v>
      </c>
      <c r="G8" s="12">
        <v>2450</v>
      </c>
      <c r="H8" s="16">
        <v>15</v>
      </c>
      <c r="I8" s="16">
        <v>4</v>
      </c>
    </row>
    <row r="9" spans="1:9" x14ac:dyDescent="0.25">
      <c r="A9" s="3">
        <v>143.4375</v>
      </c>
      <c r="B9">
        <v>174</v>
      </c>
      <c r="C9" s="90">
        <v>0.26600000000000001</v>
      </c>
      <c r="D9" s="95">
        <v>-3.5399999999999994E-2</v>
      </c>
      <c r="E9" s="10">
        <v>46</v>
      </c>
      <c r="F9" s="11">
        <v>88.6</v>
      </c>
      <c r="G9" s="12">
        <v>1800</v>
      </c>
      <c r="H9" s="16">
        <v>15</v>
      </c>
      <c r="I9" s="16">
        <v>5</v>
      </c>
    </row>
    <row r="10" spans="1:9" x14ac:dyDescent="0.25">
      <c r="A10" s="3">
        <v>126.5625</v>
      </c>
      <c r="B10">
        <v>186</v>
      </c>
      <c r="C10" s="90">
        <v>7.1010000000000004E-2</v>
      </c>
      <c r="D10" s="95">
        <v>2.9760000000000012E-2</v>
      </c>
      <c r="E10" s="10">
        <v>199.8</v>
      </c>
      <c r="F10" s="11">
        <v>44.3</v>
      </c>
      <c r="G10" s="12">
        <v>1593</v>
      </c>
      <c r="H10" s="16">
        <v>18</v>
      </c>
      <c r="I10" s="16">
        <v>6</v>
      </c>
    </row>
    <row r="11" spans="1:9" x14ac:dyDescent="0.25">
      <c r="A11" s="3">
        <v>120.9375</v>
      </c>
      <c r="B11">
        <v>126</v>
      </c>
      <c r="C11" s="90">
        <v>0.12384000000000001</v>
      </c>
      <c r="D11" s="95">
        <v>4.6300000000000001E-2</v>
      </c>
      <c r="E11" s="10">
        <v>8.9</v>
      </c>
      <c r="F11" s="11">
        <v>140.5</v>
      </c>
      <c r="G11" s="12">
        <v>1482</v>
      </c>
      <c r="H11" s="16">
        <v>19</v>
      </c>
      <c r="I11" s="16">
        <v>1</v>
      </c>
    </row>
    <row r="12" spans="1:9" x14ac:dyDescent="0.25">
      <c r="A12" s="3">
        <v>120.9375</v>
      </c>
      <c r="B12">
        <v>150</v>
      </c>
      <c r="C12" s="90">
        <v>0.20638000000000001</v>
      </c>
      <c r="D12" s="95">
        <v>7.5559999999999988E-2</v>
      </c>
      <c r="E12" s="10">
        <v>294.5</v>
      </c>
      <c r="F12" s="11">
        <v>89</v>
      </c>
      <c r="G12" s="12">
        <v>1035</v>
      </c>
      <c r="H12" s="16">
        <v>19</v>
      </c>
      <c r="I12" s="16">
        <v>3</v>
      </c>
    </row>
    <row r="13" spans="1:9" x14ac:dyDescent="0.25">
      <c r="A13" s="3">
        <v>120.9375</v>
      </c>
      <c r="B13">
        <v>174</v>
      </c>
      <c r="C13" s="90">
        <v>0.17953333333333338</v>
      </c>
      <c r="D13" s="95">
        <v>2.908333333333334E-2</v>
      </c>
      <c r="E13" s="10">
        <v>258.16666666666669</v>
      </c>
      <c r="F13" s="11">
        <v>75.833333333333343</v>
      </c>
      <c r="G13" s="12">
        <v>1763.3333333333335</v>
      </c>
      <c r="H13" s="16">
        <v>19</v>
      </c>
      <c r="I13" s="16">
        <v>5</v>
      </c>
    </row>
    <row r="14" spans="1:9" x14ac:dyDescent="0.25">
      <c r="A14" s="3">
        <v>120.9375</v>
      </c>
      <c r="B14">
        <v>198</v>
      </c>
      <c r="C14" s="90">
        <v>9.3529999999999974E-2</v>
      </c>
      <c r="D14" s="95">
        <v>1.805E-2</v>
      </c>
      <c r="E14" s="10">
        <v>53.45</v>
      </c>
      <c r="F14" s="11">
        <v>15.75</v>
      </c>
      <c r="G14" s="12">
        <v>752.5</v>
      </c>
      <c r="H14" s="16">
        <v>19</v>
      </c>
      <c r="I14" s="16">
        <v>7</v>
      </c>
    </row>
    <row r="15" spans="1:9" x14ac:dyDescent="0.25">
      <c r="A15" s="3">
        <v>120.9375</v>
      </c>
      <c r="B15">
        <v>222</v>
      </c>
      <c r="C15" s="90">
        <v>0.11872000000000002</v>
      </c>
      <c r="D15" s="95">
        <v>-1.749999999999965E-4</v>
      </c>
      <c r="E15" s="10">
        <v>92.9</v>
      </c>
      <c r="F15" s="11">
        <v>33.049999999999997</v>
      </c>
      <c r="G15" s="12">
        <v>910</v>
      </c>
      <c r="H15" s="16">
        <v>19</v>
      </c>
      <c r="I15" s="16">
        <v>9</v>
      </c>
    </row>
    <row r="16" spans="1:9" x14ac:dyDescent="0.25">
      <c r="A16" s="3">
        <v>137.8125</v>
      </c>
      <c r="B16">
        <v>186</v>
      </c>
      <c r="C16" s="90">
        <v>3.6940000000000021E-2</v>
      </c>
      <c r="D16" s="95">
        <v>4.4240000000000002E-2</v>
      </c>
      <c r="E16" s="10">
        <v>222.8</v>
      </c>
      <c r="F16" s="11">
        <v>31.05</v>
      </c>
      <c r="G16" s="12">
        <v>1825</v>
      </c>
      <c r="H16" s="16">
        <v>16</v>
      </c>
      <c r="I16" s="16">
        <v>6</v>
      </c>
    </row>
    <row r="17" spans="1:9" x14ac:dyDescent="0.25">
      <c r="A17" s="3">
        <v>115.3125</v>
      </c>
      <c r="B17">
        <v>186</v>
      </c>
      <c r="C17" s="90">
        <v>6.6720000000000029E-2</v>
      </c>
      <c r="D17" s="95">
        <v>5.3730000000000014E-2</v>
      </c>
      <c r="E17" s="10">
        <v>219.7</v>
      </c>
      <c r="F17" s="11">
        <v>62.3</v>
      </c>
      <c r="G17" s="12">
        <v>2028</v>
      </c>
      <c r="H17" s="16">
        <v>20</v>
      </c>
      <c r="I17" s="16">
        <v>6</v>
      </c>
    </row>
    <row r="18" spans="1:9" x14ac:dyDescent="0.25">
      <c r="A18" s="3">
        <v>104.0625</v>
      </c>
      <c r="B18">
        <v>174</v>
      </c>
      <c r="C18" s="90">
        <v>0.14032000000000003</v>
      </c>
      <c r="D18" s="95">
        <v>5.1859999999999996E-2</v>
      </c>
      <c r="E18" s="10">
        <v>207</v>
      </c>
      <c r="F18" s="11">
        <v>60.6</v>
      </c>
      <c r="G18" s="12">
        <v>1587</v>
      </c>
      <c r="H18" s="16">
        <v>22</v>
      </c>
      <c r="I18" s="16">
        <v>5</v>
      </c>
    </row>
    <row r="19" spans="1:9" x14ac:dyDescent="0.25">
      <c r="A19" s="3">
        <v>104.0625</v>
      </c>
      <c r="B19">
        <v>186</v>
      </c>
      <c r="C19" s="90">
        <v>4.4430000000000011E-2</v>
      </c>
      <c r="D19" s="95">
        <v>7.2980000000000003E-2</v>
      </c>
      <c r="E19" s="10">
        <v>164.2</v>
      </c>
      <c r="F19" s="11">
        <v>21.3</v>
      </c>
      <c r="G19" s="12">
        <v>1175</v>
      </c>
      <c r="H19" s="16">
        <v>22</v>
      </c>
      <c r="I19" s="16">
        <v>6</v>
      </c>
    </row>
    <row r="20" spans="1:9" x14ac:dyDescent="0.25">
      <c r="A20" s="3">
        <v>98.4375</v>
      </c>
      <c r="B20">
        <v>162</v>
      </c>
      <c r="C20" s="90">
        <v>7.2819999999999996E-2</v>
      </c>
      <c r="D20" s="95">
        <v>6.5430000000000002E-2</v>
      </c>
      <c r="E20" s="10">
        <v>162.9</v>
      </c>
      <c r="F20" s="11">
        <v>23.3</v>
      </c>
      <c r="G20" s="12">
        <v>1030</v>
      </c>
      <c r="H20" s="16">
        <v>23</v>
      </c>
      <c r="I20" s="16">
        <v>4</v>
      </c>
    </row>
    <row r="21" spans="1:9" x14ac:dyDescent="0.25">
      <c r="A21" s="3">
        <v>154.6875</v>
      </c>
      <c r="B21">
        <v>138</v>
      </c>
      <c r="C21" s="90">
        <v>-1.3399999999999999E-2</v>
      </c>
      <c r="D21" s="95">
        <v>2.4000000000000024E-3</v>
      </c>
      <c r="E21" s="10">
        <v>32</v>
      </c>
      <c r="F21" s="11">
        <v>151.6</v>
      </c>
      <c r="G21" s="12">
        <v>4143</v>
      </c>
      <c r="H21" s="16">
        <v>13</v>
      </c>
      <c r="I21" s="16">
        <v>2</v>
      </c>
    </row>
    <row r="22" spans="1:9" ht="14.25" customHeight="1" x14ac:dyDescent="0.25">
      <c r="A22" s="3">
        <v>154.6875</v>
      </c>
      <c r="B22">
        <v>162</v>
      </c>
      <c r="C22" s="90">
        <v>-8.4300000000000014E-2</v>
      </c>
      <c r="D22" s="95">
        <v>6.4510000000000012E-2</v>
      </c>
      <c r="E22" s="10">
        <v>230</v>
      </c>
      <c r="F22" s="11">
        <v>52.65</v>
      </c>
      <c r="G22" s="12">
        <v>4790</v>
      </c>
      <c r="H22" s="16">
        <v>13</v>
      </c>
      <c r="I22" s="16">
        <v>4</v>
      </c>
    </row>
    <row r="23" spans="1:9" x14ac:dyDescent="0.25">
      <c r="A23" s="3">
        <v>154.6875</v>
      </c>
      <c r="B23">
        <v>186</v>
      </c>
      <c r="C23" s="90">
        <v>-5.8799999999999963E-3</v>
      </c>
      <c r="D23" s="95">
        <v>9.1799999999999989E-3</v>
      </c>
      <c r="E23" s="10">
        <v>179.55</v>
      </c>
      <c r="F23" s="11">
        <v>41.7</v>
      </c>
      <c r="G23" s="12">
        <v>1870</v>
      </c>
      <c r="H23" s="16">
        <v>13</v>
      </c>
      <c r="I23" s="16">
        <v>6</v>
      </c>
    </row>
    <row r="24" spans="1:9" x14ac:dyDescent="0.25">
      <c r="A24" s="3">
        <v>154.6875</v>
      </c>
      <c r="B24">
        <v>210</v>
      </c>
      <c r="C24" s="90">
        <v>3.2119999999999996E-2</v>
      </c>
      <c r="D24" s="95">
        <v>2.9979999999999993E-2</v>
      </c>
      <c r="E24" s="10">
        <v>100.8</v>
      </c>
      <c r="F24" s="11">
        <v>64</v>
      </c>
      <c r="G24" s="12">
        <v>2680</v>
      </c>
      <c r="H24" s="16">
        <v>13</v>
      </c>
      <c r="I24" s="16">
        <v>8</v>
      </c>
    </row>
    <row r="25" spans="1:9" x14ac:dyDescent="0.25">
      <c r="A25" s="3">
        <v>120.9375</v>
      </c>
      <c r="B25">
        <v>138</v>
      </c>
      <c r="C25" s="90">
        <v>9.2880000000000018E-2</v>
      </c>
      <c r="D25" s="95">
        <v>5.2979999999999999E-2</v>
      </c>
      <c r="E25" s="10">
        <v>182.85</v>
      </c>
      <c r="F25" s="11">
        <v>41.95</v>
      </c>
      <c r="G25" s="12">
        <v>1055</v>
      </c>
      <c r="H25" s="16">
        <v>19</v>
      </c>
      <c r="I25" s="16">
        <v>2</v>
      </c>
    </row>
    <row r="26" spans="1:9" x14ac:dyDescent="0.25">
      <c r="A26" s="3">
        <v>120.9375</v>
      </c>
      <c r="B26">
        <v>162</v>
      </c>
      <c r="C26" s="90">
        <v>-1.3359999999999962E-2</v>
      </c>
      <c r="D26" s="95">
        <v>-6.5599999999999973E-3</v>
      </c>
      <c r="E26" s="10">
        <v>225.8</v>
      </c>
      <c r="F26" s="11">
        <v>61.4</v>
      </c>
      <c r="G26" s="12">
        <v>1990</v>
      </c>
      <c r="H26" s="16">
        <v>19</v>
      </c>
      <c r="I26" s="16">
        <v>4</v>
      </c>
    </row>
    <row r="27" spans="1:9" x14ac:dyDescent="0.25">
      <c r="A27" s="3">
        <v>120.9375</v>
      </c>
      <c r="B27">
        <v>186</v>
      </c>
      <c r="C27" s="90">
        <v>5.6615000000000047E-2</v>
      </c>
      <c r="D27" s="95">
        <v>2.1950000000000025E-3</v>
      </c>
      <c r="E27" s="10">
        <v>194.95</v>
      </c>
      <c r="F27" s="11">
        <v>39.6</v>
      </c>
      <c r="G27" s="12">
        <v>1787.5</v>
      </c>
      <c r="H27" s="16">
        <v>19</v>
      </c>
      <c r="I27" s="16">
        <v>6</v>
      </c>
    </row>
    <row r="28" spans="1:9" x14ac:dyDescent="0.25">
      <c r="A28" s="3">
        <v>120.9375</v>
      </c>
      <c r="B28">
        <v>210</v>
      </c>
      <c r="C28" s="90">
        <v>-2.1099999999999997E-2</v>
      </c>
      <c r="D28" s="95">
        <v>1.1400000000000006E-2</v>
      </c>
      <c r="E28" s="10">
        <v>161.30000000000001</v>
      </c>
      <c r="F28" s="11">
        <v>52</v>
      </c>
      <c r="G28" s="12">
        <v>2640</v>
      </c>
      <c r="H28" s="16">
        <v>19</v>
      </c>
      <c r="I28" s="16">
        <v>8</v>
      </c>
    </row>
    <row r="29" spans="1:9" x14ac:dyDescent="0.25">
      <c r="A29" s="3">
        <v>120.9375</v>
      </c>
      <c r="B29">
        <v>234</v>
      </c>
      <c r="C29" s="90">
        <v>-0.17838000000000001</v>
      </c>
      <c r="D29" s="95">
        <v>5.3559999999999997E-2</v>
      </c>
      <c r="E29" s="10">
        <v>178.3</v>
      </c>
      <c r="F29" s="11">
        <v>62.8</v>
      </c>
      <c r="G29" s="12">
        <v>3140</v>
      </c>
      <c r="H29" s="16">
        <v>19</v>
      </c>
      <c r="I29" s="16">
        <v>10</v>
      </c>
    </row>
    <row r="30" spans="1:9" x14ac:dyDescent="0.25">
      <c r="A30" s="3">
        <v>98.4375</v>
      </c>
      <c r="B30">
        <v>174</v>
      </c>
      <c r="C30" s="90">
        <v>9.4833333333333367E-2</v>
      </c>
      <c r="D30" s="95">
        <v>1.776666666666667E-2</v>
      </c>
      <c r="E30" s="10">
        <v>159.33333333333337</v>
      </c>
      <c r="F30" s="11">
        <v>43.500000000000007</v>
      </c>
      <c r="G30" s="12">
        <v>1083.3333333333335</v>
      </c>
      <c r="H30" s="16">
        <v>23</v>
      </c>
      <c r="I30" s="16">
        <v>5</v>
      </c>
    </row>
    <row r="31" spans="1:9" x14ac:dyDescent="0.25">
      <c r="A31" s="3">
        <v>92.8125</v>
      </c>
      <c r="B31">
        <v>162</v>
      </c>
      <c r="C31" s="90">
        <v>0.15699000000000005</v>
      </c>
      <c r="D31" s="95">
        <v>4.4130000000000003E-2</v>
      </c>
      <c r="E31" s="10">
        <v>248.3</v>
      </c>
      <c r="F31" s="11">
        <v>59.5</v>
      </c>
      <c r="G31" s="12">
        <v>1060</v>
      </c>
      <c r="H31" s="16">
        <v>24</v>
      </c>
      <c r="I31" s="16">
        <v>4</v>
      </c>
    </row>
    <row r="32" spans="1:9" x14ac:dyDescent="0.25">
      <c r="A32" s="3">
        <v>92.8125</v>
      </c>
      <c r="B32">
        <v>174</v>
      </c>
      <c r="C32" s="90">
        <v>6.8966666666666676E-2</v>
      </c>
      <c r="D32" s="95">
        <v>1.6100000000000003E-2</v>
      </c>
      <c r="E32" s="10">
        <v>247.66666666666669</v>
      </c>
      <c r="F32" s="11">
        <v>39.000000000000007</v>
      </c>
      <c r="G32" s="12">
        <v>1495.0000000000002</v>
      </c>
      <c r="H32" s="16">
        <v>24</v>
      </c>
      <c r="I32" s="16">
        <v>5</v>
      </c>
    </row>
    <row r="33" spans="1:9" x14ac:dyDescent="0.25">
      <c r="A33" s="3">
        <v>70.3125</v>
      </c>
      <c r="B33">
        <v>174</v>
      </c>
      <c r="C33" s="90">
        <v>0.17113</v>
      </c>
      <c r="D33" s="95">
        <v>2.904E-2</v>
      </c>
      <c r="E33" s="10">
        <v>219.9</v>
      </c>
      <c r="F33" s="11">
        <v>54.6</v>
      </c>
      <c r="G33" s="12">
        <v>1035</v>
      </c>
      <c r="H33" s="16">
        <v>28</v>
      </c>
      <c r="I33" s="16">
        <v>5</v>
      </c>
    </row>
    <row r="34" spans="1:9" x14ac:dyDescent="0.25">
      <c r="A34" s="3">
        <v>64.6875</v>
      </c>
      <c r="B34">
        <v>162</v>
      </c>
      <c r="C34" s="90">
        <v>0.19755</v>
      </c>
      <c r="D34" s="95">
        <v>0.13375000000000001</v>
      </c>
      <c r="E34" s="10">
        <v>60.5</v>
      </c>
      <c r="F34" s="11">
        <v>63.5</v>
      </c>
      <c r="G34" s="12">
        <v>1010</v>
      </c>
      <c r="H34" s="16">
        <v>29</v>
      </c>
      <c r="I34" s="16">
        <v>4</v>
      </c>
    </row>
    <row r="35" spans="1:9" x14ac:dyDescent="0.25">
      <c r="A35" s="3">
        <v>64.6875</v>
      </c>
      <c r="B35">
        <v>174</v>
      </c>
      <c r="C35" s="90">
        <v>0.18770999999999996</v>
      </c>
      <c r="D35" s="95">
        <v>4.4509999999999994E-2</v>
      </c>
      <c r="E35" s="10">
        <v>180.8</v>
      </c>
      <c r="F35" s="11">
        <v>79.650000000000006</v>
      </c>
      <c r="G35" s="12">
        <v>1958.5</v>
      </c>
      <c r="H35" s="16">
        <v>29</v>
      </c>
      <c r="I35" s="16">
        <v>5</v>
      </c>
    </row>
    <row r="36" spans="1:9" x14ac:dyDescent="0.25">
      <c r="A36" s="3">
        <v>14.0625</v>
      </c>
      <c r="B36">
        <v>174</v>
      </c>
      <c r="C36" s="90">
        <v>0.25142000000000003</v>
      </c>
      <c r="D36" s="95">
        <v>2.019E-2</v>
      </c>
      <c r="E36" s="10">
        <v>151.4</v>
      </c>
      <c r="F36" s="11">
        <v>18.3</v>
      </c>
      <c r="G36" s="12">
        <v>835</v>
      </c>
      <c r="H36" s="16">
        <v>38</v>
      </c>
      <c r="I36" s="16">
        <v>5</v>
      </c>
    </row>
    <row r="37" spans="1:9" x14ac:dyDescent="0.25">
      <c r="A37" s="3">
        <v>8.4375</v>
      </c>
      <c r="B37">
        <v>162</v>
      </c>
      <c r="C37" s="90">
        <v>0.69994000000000001</v>
      </c>
      <c r="D37" s="95">
        <v>2.8820000000000005E-2</v>
      </c>
      <c r="E37" s="10">
        <v>157</v>
      </c>
      <c r="F37" s="11">
        <v>33</v>
      </c>
      <c r="G37" s="12">
        <v>890</v>
      </c>
      <c r="H37" s="16">
        <v>39</v>
      </c>
      <c r="I37" s="16">
        <v>4</v>
      </c>
    </row>
    <row r="38" spans="1:9" x14ac:dyDescent="0.25">
      <c r="A38" s="3">
        <v>8.4375</v>
      </c>
      <c r="B38">
        <v>174</v>
      </c>
      <c r="C38" s="90">
        <v>0.65443333333333342</v>
      </c>
      <c r="D38" s="95">
        <v>4.1866666666666677E-2</v>
      </c>
      <c r="E38" s="10">
        <v>143.83333333333334</v>
      </c>
      <c r="F38" s="11">
        <v>23.5</v>
      </c>
      <c r="G38" s="12">
        <v>1016.6666666666669</v>
      </c>
      <c r="H38" s="16">
        <v>39</v>
      </c>
      <c r="I38" s="16">
        <v>5</v>
      </c>
    </row>
    <row r="39" spans="1:9" x14ac:dyDescent="0.25">
      <c r="A39" s="3">
        <v>2.8125</v>
      </c>
      <c r="B39">
        <v>186</v>
      </c>
      <c r="C39" s="90">
        <v>0.21660499999999999</v>
      </c>
      <c r="D39" s="95">
        <v>1.0645E-2</v>
      </c>
      <c r="E39" s="10">
        <v>111.4</v>
      </c>
      <c r="F39" s="11">
        <v>21.3</v>
      </c>
      <c r="G39" s="12">
        <v>575</v>
      </c>
      <c r="H39" s="16">
        <v>40</v>
      </c>
      <c r="I39" s="16">
        <v>6</v>
      </c>
    </row>
    <row r="40" spans="1:9" x14ac:dyDescent="0.25">
      <c r="A40" s="3">
        <v>-2.8125</v>
      </c>
      <c r="B40">
        <v>186</v>
      </c>
      <c r="C40" s="90">
        <v>0.96748000000000001</v>
      </c>
      <c r="D40" s="95">
        <v>3.2099999999999997E-2</v>
      </c>
      <c r="E40" s="10">
        <v>172.4</v>
      </c>
      <c r="F40" s="11">
        <v>28.2</v>
      </c>
      <c r="G40" s="12">
        <v>980</v>
      </c>
      <c r="H40" s="16">
        <v>41</v>
      </c>
      <c r="I40" s="16">
        <v>6</v>
      </c>
    </row>
    <row r="41" spans="1:9" x14ac:dyDescent="0.25">
      <c r="A41" s="3">
        <v>-8.4375</v>
      </c>
      <c r="B41">
        <v>186</v>
      </c>
      <c r="C41" s="90">
        <v>0.81552000000000002</v>
      </c>
      <c r="D41" s="95">
        <v>4.4219999999999995E-2</v>
      </c>
      <c r="E41" s="10">
        <v>209.3</v>
      </c>
      <c r="F41" s="11">
        <v>18.3</v>
      </c>
      <c r="G41" s="12">
        <v>1120</v>
      </c>
      <c r="H41" s="16">
        <v>42</v>
      </c>
      <c r="I41" s="16">
        <v>6</v>
      </c>
    </row>
    <row r="42" spans="1:9" x14ac:dyDescent="0.25">
      <c r="A42" s="3">
        <v>-14.0625</v>
      </c>
      <c r="B42">
        <v>186</v>
      </c>
      <c r="C42" s="90">
        <v>0.71883000000000008</v>
      </c>
      <c r="D42" s="95">
        <v>2.5970000000000003E-2</v>
      </c>
      <c r="E42" s="10">
        <v>124.1</v>
      </c>
      <c r="F42" s="11">
        <v>34.9</v>
      </c>
      <c r="G42" s="12">
        <v>990</v>
      </c>
      <c r="H42" s="16">
        <v>43</v>
      </c>
      <c r="I42" s="16">
        <v>6</v>
      </c>
    </row>
    <row r="43" spans="1:9" x14ac:dyDescent="0.25">
      <c r="A43" s="3">
        <v>-19.6875</v>
      </c>
      <c r="B43">
        <v>186</v>
      </c>
      <c r="C43" s="90">
        <v>0.37896000000000002</v>
      </c>
      <c r="D43" s="95">
        <v>4.0419999999999998E-2</v>
      </c>
      <c r="E43" s="10">
        <v>168.6</v>
      </c>
      <c r="F43" s="11">
        <v>17.8</v>
      </c>
      <c r="G43" s="12">
        <v>875</v>
      </c>
      <c r="H43" s="16">
        <v>44</v>
      </c>
      <c r="I43" s="16">
        <v>6</v>
      </c>
    </row>
    <row r="44" spans="1:9" x14ac:dyDescent="0.25">
      <c r="A44" s="3">
        <v>-25.3125</v>
      </c>
      <c r="B44">
        <v>126</v>
      </c>
      <c r="C44" s="90">
        <v>0.27823500000000001</v>
      </c>
      <c r="D44" s="95">
        <v>0.13328500000000001</v>
      </c>
      <c r="E44" s="10">
        <v>212.55</v>
      </c>
      <c r="F44" s="11">
        <v>75.849999999999994</v>
      </c>
      <c r="G44" s="12">
        <v>1035</v>
      </c>
      <c r="H44" s="16">
        <v>45</v>
      </c>
      <c r="I44" s="16">
        <v>1</v>
      </c>
    </row>
    <row r="45" spans="1:9" x14ac:dyDescent="0.25">
      <c r="A45" s="3">
        <v>-25.3125</v>
      </c>
      <c r="B45">
        <v>138</v>
      </c>
      <c r="C45" s="90">
        <v>0.27057500000000001</v>
      </c>
      <c r="D45" s="95">
        <v>4.0374999999999994E-2</v>
      </c>
      <c r="E45" s="10">
        <v>99.25</v>
      </c>
      <c r="F45" s="11">
        <v>83.75</v>
      </c>
      <c r="G45" s="12">
        <v>1487.5</v>
      </c>
      <c r="H45" s="16">
        <v>45</v>
      </c>
      <c r="I45" s="16">
        <v>2</v>
      </c>
    </row>
    <row r="46" spans="1:9" x14ac:dyDescent="0.25">
      <c r="A46" s="3">
        <v>-25.3125</v>
      </c>
      <c r="B46">
        <v>150</v>
      </c>
      <c r="C46" s="90">
        <v>0.16580999999999999</v>
      </c>
      <c r="D46" s="95">
        <v>8.1650000000000021E-3</v>
      </c>
      <c r="E46" s="10">
        <v>93.45</v>
      </c>
      <c r="F46" s="11">
        <v>45.6</v>
      </c>
      <c r="G46" s="12">
        <v>1270</v>
      </c>
      <c r="H46" s="16">
        <v>45</v>
      </c>
      <c r="I46" s="16">
        <v>3</v>
      </c>
    </row>
    <row r="47" spans="1:9" x14ac:dyDescent="0.25">
      <c r="A47" s="3">
        <v>-25.3125</v>
      </c>
      <c r="B47">
        <v>162</v>
      </c>
      <c r="C47" s="90">
        <v>0.12450500000000002</v>
      </c>
      <c r="D47" s="95">
        <v>1.1939999999999997E-2</v>
      </c>
      <c r="E47" s="10">
        <v>115.2</v>
      </c>
      <c r="F47" s="11">
        <v>37.85</v>
      </c>
      <c r="G47" s="12">
        <v>1092.5</v>
      </c>
      <c r="H47" s="16">
        <v>45</v>
      </c>
      <c r="I47" s="16">
        <v>4</v>
      </c>
    </row>
    <row r="48" spans="1:9" x14ac:dyDescent="0.25">
      <c r="A48" s="3">
        <v>-25.3125</v>
      </c>
      <c r="B48">
        <v>174</v>
      </c>
      <c r="C48" s="90">
        <v>9.4740000000000019E-2</v>
      </c>
      <c r="D48" s="95">
        <v>2.5800000000000033E-3</v>
      </c>
      <c r="E48" s="10">
        <v>128.6</v>
      </c>
      <c r="F48" s="11">
        <v>65.95</v>
      </c>
      <c r="G48" s="12">
        <v>1775</v>
      </c>
      <c r="H48" s="16">
        <v>45</v>
      </c>
      <c r="I48" s="16">
        <v>5</v>
      </c>
    </row>
    <row r="49" spans="1:9" x14ac:dyDescent="0.25">
      <c r="A49" s="3">
        <v>-25.3125</v>
      </c>
      <c r="B49">
        <v>186</v>
      </c>
      <c r="C49" s="90">
        <v>0.22561</v>
      </c>
      <c r="D49" s="95">
        <v>1.9969999999999998E-2</v>
      </c>
      <c r="E49" s="10">
        <v>124.9</v>
      </c>
      <c r="F49" s="11">
        <v>27.6</v>
      </c>
      <c r="G49" s="12">
        <v>1010</v>
      </c>
      <c r="H49" s="16">
        <v>45</v>
      </c>
      <c r="I49" s="16">
        <v>6</v>
      </c>
    </row>
    <row r="50" spans="1:9" x14ac:dyDescent="0.25">
      <c r="A50" s="3">
        <v>-25.3125</v>
      </c>
      <c r="B50">
        <v>198</v>
      </c>
      <c r="C50" s="90">
        <v>0.17096</v>
      </c>
      <c r="D50" s="95">
        <v>2.4029999999999999E-2</v>
      </c>
      <c r="E50" s="10">
        <v>159</v>
      </c>
      <c r="F50" s="11">
        <v>20.100000000000001</v>
      </c>
      <c r="G50" s="12">
        <v>763</v>
      </c>
      <c r="H50" s="16">
        <v>45</v>
      </c>
      <c r="I50" s="16">
        <v>7</v>
      </c>
    </row>
    <row r="51" spans="1:9" x14ac:dyDescent="0.25">
      <c r="A51" s="3">
        <v>-25.3125</v>
      </c>
      <c r="B51">
        <v>210</v>
      </c>
      <c r="C51" s="90">
        <v>0.17995</v>
      </c>
      <c r="D51" s="95">
        <v>2.1530000000000004E-2</v>
      </c>
      <c r="E51" s="10">
        <v>209.9</v>
      </c>
      <c r="F51" s="11">
        <v>26.2</v>
      </c>
      <c r="G51" s="12">
        <v>1085</v>
      </c>
      <c r="H51" s="16">
        <v>45</v>
      </c>
      <c r="I51" s="16">
        <v>8</v>
      </c>
    </row>
    <row r="52" spans="1:9" x14ac:dyDescent="0.25">
      <c r="A52" s="3">
        <v>-25.3125</v>
      </c>
      <c r="B52">
        <v>222</v>
      </c>
      <c r="C52" s="92">
        <v>0.17710000000000001</v>
      </c>
      <c r="D52" s="97">
        <v>2.2600000000000002E-2</v>
      </c>
      <c r="E52" s="66">
        <v>286</v>
      </c>
      <c r="F52" s="67">
        <v>16</v>
      </c>
      <c r="G52" s="68">
        <v>1300</v>
      </c>
      <c r="H52" s="58">
        <v>45</v>
      </c>
      <c r="I52" s="58">
        <v>9</v>
      </c>
    </row>
    <row r="53" spans="1:9" x14ac:dyDescent="0.25">
      <c r="A53" s="3">
        <v>-25.3125</v>
      </c>
      <c r="B53">
        <v>234</v>
      </c>
      <c r="C53" s="90">
        <v>0.9049100000000001</v>
      </c>
      <c r="D53" s="95">
        <v>7.0570000000000008E-2</v>
      </c>
      <c r="E53" s="10">
        <v>290.60000000000002</v>
      </c>
      <c r="F53" s="11">
        <v>30.2</v>
      </c>
      <c r="G53" s="12">
        <v>2000</v>
      </c>
      <c r="H53" s="16">
        <v>45</v>
      </c>
      <c r="I53" s="16">
        <v>10</v>
      </c>
    </row>
    <row r="54" spans="1:9" x14ac:dyDescent="0.25">
      <c r="A54" s="3">
        <v>-30.9375</v>
      </c>
      <c r="B54">
        <v>174</v>
      </c>
      <c r="C54" s="90">
        <v>0.12854000000000002</v>
      </c>
      <c r="D54" s="95">
        <v>2.5150000000000002E-2</v>
      </c>
      <c r="E54" s="10">
        <v>125.8</v>
      </c>
      <c r="F54" s="11">
        <v>23.5</v>
      </c>
      <c r="G54" s="12">
        <v>850</v>
      </c>
      <c r="H54" s="16">
        <v>46</v>
      </c>
      <c r="I54" s="16">
        <v>5</v>
      </c>
    </row>
    <row r="55" spans="1:9" x14ac:dyDescent="0.25">
      <c r="A55" s="3">
        <v>-30.9375</v>
      </c>
      <c r="B55">
        <v>186</v>
      </c>
      <c r="C55" s="90">
        <v>0.14655499999999999</v>
      </c>
      <c r="D55" s="95">
        <v>3.1655000000000003E-2</v>
      </c>
      <c r="E55" s="10">
        <v>71.349999999999994</v>
      </c>
      <c r="F55" s="11">
        <v>12.95</v>
      </c>
      <c r="G55" s="12">
        <v>610</v>
      </c>
      <c r="H55" s="16">
        <v>46</v>
      </c>
      <c r="I55" s="16">
        <v>6</v>
      </c>
    </row>
    <row r="56" spans="1:9" x14ac:dyDescent="0.25">
      <c r="A56" s="3">
        <v>-36.5625</v>
      </c>
      <c r="B56">
        <v>162</v>
      </c>
      <c r="C56" s="90">
        <v>0.23047500000000004</v>
      </c>
      <c r="D56" s="95">
        <v>2.0674999999999999E-2</v>
      </c>
      <c r="E56" s="10">
        <v>90.4</v>
      </c>
      <c r="F56" s="11">
        <v>40.299999999999997</v>
      </c>
      <c r="G56" s="12">
        <v>995</v>
      </c>
      <c r="H56" s="16">
        <v>47</v>
      </c>
      <c r="I56" s="16">
        <v>4</v>
      </c>
    </row>
    <row r="57" spans="1:9" x14ac:dyDescent="0.25">
      <c r="A57" s="3">
        <v>-36.5625</v>
      </c>
      <c r="B57">
        <v>174</v>
      </c>
      <c r="C57" s="90">
        <v>9.4716666666666671E-2</v>
      </c>
      <c r="D57" s="95">
        <v>2.3908333333333337E-2</v>
      </c>
      <c r="E57" s="10">
        <v>103.16666666666666</v>
      </c>
      <c r="F57" s="11">
        <v>23</v>
      </c>
      <c r="G57" s="12">
        <v>833.33333333333348</v>
      </c>
      <c r="H57" s="16">
        <v>47</v>
      </c>
      <c r="I57" s="16">
        <v>5</v>
      </c>
    </row>
    <row r="58" spans="1:9" x14ac:dyDescent="0.25">
      <c r="A58" s="3">
        <v>-36.5625</v>
      </c>
      <c r="B58">
        <v>186</v>
      </c>
      <c r="C58" s="90">
        <v>5.886000000000001E-2</v>
      </c>
      <c r="D58" s="95">
        <v>2.5849999999999998E-2</v>
      </c>
      <c r="E58" s="10">
        <v>101.2</v>
      </c>
      <c r="F58" s="11">
        <v>17.899999999999999</v>
      </c>
      <c r="G58" s="12">
        <v>700</v>
      </c>
      <c r="H58" s="16">
        <v>47</v>
      </c>
      <c r="I58" s="16">
        <v>6</v>
      </c>
    </row>
    <row r="59" spans="1:9" x14ac:dyDescent="0.25">
      <c r="A59" s="3">
        <v>-42.1875</v>
      </c>
      <c r="B59">
        <v>186</v>
      </c>
      <c r="C59" s="90">
        <v>0.12367</v>
      </c>
      <c r="D59" s="95">
        <v>0.05</v>
      </c>
      <c r="E59" s="10">
        <v>61.2</v>
      </c>
      <c r="F59" s="11">
        <v>79.2</v>
      </c>
      <c r="G59" s="12">
        <v>2525.6</v>
      </c>
      <c r="H59" s="16">
        <v>48</v>
      </c>
      <c r="I59" s="16">
        <v>6</v>
      </c>
    </row>
    <row r="60" spans="1:9" x14ac:dyDescent="0.25">
      <c r="A60" s="3">
        <v>-47.8125</v>
      </c>
      <c r="B60">
        <v>186</v>
      </c>
      <c r="C60" s="90">
        <v>8.199999999999963E-4</v>
      </c>
      <c r="D60" s="95">
        <v>2.794E-2</v>
      </c>
      <c r="E60" s="10">
        <v>118.75</v>
      </c>
      <c r="F60" s="11">
        <v>14.55</v>
      </c>
      <c r="G60" s="12">
        <v>740</v>
      </c>
      <c r="H60" s="16">
        <v>49</v>
      </c>
      <c r="I60" s="16">
        <v>6</v>
      </c>
    </row>
    <row r="61" spans="1:9" x14ac:dyDescent="0.25">
      <c r="A61" s="3">
        <v>-75.9375</v>
      </c>
      <c r="B61">
        <v>174</v>
      </c>
      <c r="C61" s="90">
        <v>6.3390000000000016E-2</v>
      </c>
      <c r="D61" s="95">
        <v>9.130000000000001E-3</v>
      </c>
      <c r="E61" s="10">
        <v>89.8</v>
      </c>
      <c r="F61" s="11">
        <v>36.15</v>
      </c>
      <c r="G61" s="12">
        <v>820</v>
      </c>
      <c r="H61" s="16">
        <v>54</v>
      </c>
      <c r="I61" s="16">
        <v>5</v>
      </c>
    </row>
    <row r="62" spans="1:9" x14ac:dyDescent="0.25">
      <c r="A62" s="3">
        <v>-81.5625</v>
      </c>
      <c r="B62">
        <v>162</v>
      </c>
      <c r="C62" s="90">
        <v>3.1009999999999999E-2</v>
      </c>
      <c r="D62" s="95">
        <v>5.0970000000000001E-2</v>
      </c>
      <c r="E62" s="10">
        <v>87.5</v>
      </c>
      <c r="F62" s="11">
        <v>22.15</v>
      </c>
      <c r="G62" s="12">
        <v>790</v>
      </c>
      <c r="H62" s="16">
        <v>55</v>
      </c>
      <c r="I62" s="16">
        <v>4</v>
      </c>
    </row>
    <row r="63" spans="1:9" x14ac:dyDescent="0.25">
      <c r="A63" s="3">
        <v>-81.5625</v>
      </c>
      <c r="B63">
        <v>174</v>
      </c>
      <c r="C63" s="90">
        <v>2.2145000000000005E-2</v>
      </c>
      <c r="D63" s="95">
        <v>2.7552500000000001E-2</v>
      </c>
      <c r="E63" s="10">
        <v>82.075000000000003</v>
      </c>
      <c r="F63" s="11">
        <v>29.774999999999999</v>
      </c>
      <c r="G63" s="12">
        <v>1085</v>
      </c>
      <c r="H63" s="16">
        <v>55</v>
      </c>
      <c r="I63" s="16">
        <v>5</v>
      </c>
    </row>
    <row r="64" spans="1:9" x14ac:dyDescent="0.25">
      <c r="A64" s="3">
        <v>-109.6875</v>
      </c>
      <c r="B64">
        <v>174</v>
      </c>
      <c r="C64" s="90">
        <v>-3.0499999999999196E-4</v>
      </c>
      <c r="D64" s="95">
        <v>1.8384999999999999E-2</v>
      </c>
      <c r="E64" s="10">
        <v>95.15</v>
      </c>
      <c r="F64" s="11">
        <v>27.95</v>
      </c>
      <c r="G64" s="12">
        <v>1610</v>
      </c>
      <c r="H64" s="16">
        <v>60</v>
      </c>
      <c r="I64" s="16">
        <v>5</v>
      </c>
    </row>
    <row r="65" spans="1:9" x14ac:dyDescent="0.25">
      <c r="A65" s="3">
        <v>-115.3125</v>
      </c>
      <c r="B65">
        <v>162</v>
      </c>
      <c r="C65" s="90">
        <v>3.7899999999999978E-3</v>
      </c>
      <c r="D65" s="95">
        <v>4.3949999999999996E-2</v>
      </c>
      <c r="E65" s="10">
        <v>45.5</v>
      </c>
      <c r="F65" s="11">
        <v>38.1</v>
      </c>
      <c r="G65" s="12">
        <v>1750</v>
      </c>
      <c r="H65" s="16">
        <v>61</v>
      </c>
      <c r="I65" s="16">
        <v>4</v>
      </c>
    </row>
    <row r="66" spans="1:9" x14ac:dyDescent="0.25">
      <c r="A66" s="3">
        <v>-115.3125</v>
      </c>
      <c r="B66">
        <v>174</v>
      </c>
      <c r="C66" s="90">
        <v>2.6783750000000009E-2</v>
      </c>
      <c r="D66" s="95">
        <v>2.5086250000000004E-2</v>
      </c>
      <c r="E66" s="10">
        <v>110.16249999999999</v>
      </c>
      <c r="F66" s="11">
        <v>33.325000000000003</v>
      </c>
      <c r="G66" s="12">
        <v>2008.75</v>
      </c>
      <c r="H66" s="16">
        <v>61</v>
      </c>
      <c r="I66" s="16">
        <v>5</v>
      </c>
    </row>
    <row r="67" spans="1:9" x14ac:dyDescent="0.25">
      <c r="A67" s="3">
        <v>216.5625</v>
      </c>
      <c r="B67">
        <v>162</v>
      </c>
      <c r="C67" s="90">
        <v>3.6895000000000004E-2</v>
      </c>
      <c r="D67" s="95">
        <v>1.7490000000000002E-2</v>
      </c>
      <c r="E67" s="10">
        <v>65.55</v>
      </c>
      <c r="F67" s="11">
        <v>43.3</v>
      </c>
      <c r="G67" s="12">
        <v>1195</v>
      </c>
      <c r="H67" s="16">
        <v>2</v>
      </c>
      <c r="I67" s="16">
        <v>4</v>
      </c>
    </row>
    <row r="68" spans="1:9" x14ac:dyDescent="0.25">
      <c r="A68" s="3">
        <v>216.5625</v>
      </c>
      <c r="B68">
        <v>174</v>
      </c>
      <c r="C68" s="90">
        <v>2.0172500000000003E-2</v>
      </c>
      <c r="D68" s="95">
        <v>3.5776250000000002E-2</v>
      </c>
      <c r="E68" s="10">
        <v>90.0625</v>
      </c>
      <c r="F68" s="11">
        <v>69.575000000000003</v>
      </c>
      <c r="G68" s="12">
        <v>2432.5</v>
      </c>
      <c r="H68" s="16">
        <v>2</v>
      </c>
      <c r="I68" s="16">
        <v>5</v>
      </c>
    </row>
    <row r="69" spans="1:9" x14ac:dyDescent="0.25">
      <c r="A69" s="3">
        <v>154.6875</v>
      </c>
      <c r="B69">
        <v>126</v>
      </c>
      <c r="C69" s="90">
        <v>5.756E-2</v>
      </c>
      <c r="D69" s="95">
        <v>0.16019000000000003</v>
      </c>
      <c r="E69" s="10">
        <v>135.05000000000001</v>
      </c>
      <c r="F69" s="11">
        <v>81.95</v>
      </c>
      <c r="G69" s="12">
        <v>3600</v>
      </c>
      <c r="H69" s="16">
        <v>13</v>
      </c>
      <c r="I69" s="16">
        <v>1</v>
      </c>
    </row>
    <row r="70" spans="1:9" x14ac:dyDescent="0.25">
      <c r="A70" s="3">
        <v>154.6875</v>
      </c>
      <c r="B70">
        <v>150</v>
      </c>
      <c r="C70" s="90">
        <v>4.6349999999999995E-2</v>
      </c>
      <c r="D70" s="95">
        <v>0.10046000000000001</v>
      </c>
      <c r="E70" s="10">
        <v>49.7</v>
      </c>
      <c r="F70" s="11">
        <v>59.8</v>
      </c>
      <c r="G70" s="12">
        <v>160</v>
      </c>
      <c r="H70" s="16">
        <v>13</v>
      </c>
      <c r="I70" s="16">
        <v>3</v>
      </c>
    </row>
    <row r="71" spans="1:9" x14ac:dyDescent="0.25">
      <c r="A71" s="3">
        <v>154.6875</v>
      </c>
      <c r="B71">
        <v>174</v>
      </c>
      <c r="C71" s="90">
        <v>0.11554000000000002</v>
      </c>
      <c r="D71" s="95">
        <v>0.26187000000000005</v>
      </c>
      <c r="E71" s="10">
        <v>11.8</v>
      </c>
      <c r="F71" s="11">
        <v>74.900000000000006</v>
      </c>
      <c r="G71" s="12">
        <v>2165</v>
      </c>
      <c r="H71" s="16">
        <v>13</v>
      </c>
      <c r="I71" s="16">
        <v>5</v>
      </c>
    </row>
    <row r="72" spans="1:9" x14ac:dyDescent="0.25">
      <c r="A72" s="3">
        <v>154.6875</v>
      </c>
      <c r="B72">
        <v>198</v>
      </c>
      <c r="C72" s="90">
        <v>0.13836000000000001</v>
      </c>
      <c r="D72" s="95">
        <v>5.1239999999999994E-2</v>
      </c>
      <c r="E72" s="10">
        <v>61.9</v>
      </c>
      <c r="F72" s="11">
        <v>35.1</v>
      </c>
      <c r="G72" s="12">
        <v>2570</v>
      </c>
      <c r="H72" s="16">
        <v>13</v>
      </c>
      <c r="I72" s="16">
        <v>7</v>
      </c>
    </row>
    <row r="73" spans="1:9" x14ac:dyDescent="0.25">
      <c r="A73" s="3">
        <v>154.6875</v>
      </c>
      <c r="B73">
        <v>222</v>
      </c>
      <c r="C73" s="90">
        <v>-9.1870000000000007E-2</v>
      </c>
      <c r="D73" s="95">
        <v>7.5310000000000002E-2</v>
      </c>
      <c r="E73" s="10">
        <v>289.64999999999998</v>
      </c>
      <c r="F73" s="11">
        <v>45.7</v>
      </c>
      <c r="G73" s="12">
        <v>3045</v>
      </c>
      <c r="H73" s="16">
        <v>13</v>
      </c>
      <c r="I73" s="16">
        <v>9</v>
      </c>
    </row>
    <row r="74" spans="1:9" ht="19.5" customHeight="1" x14ac:dyDescent="0.25">
      <c r="A74" s="3">
        <v>154.6875</v>
      </c>
      <c r="B74">
        <v>234</v>
      </c>
      <c r="C74" s="90">
        <v>-8.0399999999999985E-3</v>
      </c>
      <c r="D74" s="95">
        <v>0.24371000000000001</v>
      </c>
      <c r="E74" s="10">
        <v>299.8</v>
      </c>
      <c r="F74" s="11">
        <v>37.700000000000003</v>
      </c>
      <c r="G74" s="12">
        <v>3310</v>
      </c>
      <c r="H74" s="16">
        <v>13</v>
      </c>
      <c r="I74" s="16">
        <v>10</v>
      </c>
    </row>
    <row r="75" spans="1:9" x14ac:dyDescent="0.25">
      <c r="A75" s="3">
        <v>64.6875</v>
      </c>
      <c r="B75">
        <v>126</v>
      </c>
      <c r="C75" s="90">
        <v>9.5980000000000024E-2</v>
      </c>
      <c r="D75" s="95">
        <v>0.18542000000000003</v>
      </c>
      <c r="E75" s="10">
        <v>264.60000000000002</v>
      </c>
      <c r="F75" s="11">
        <v>221.6</v>
      </c>
      <c r="G75" s="12">
        <v>7480</v>
      </c>
      <c r="H75" s="16">
        <v>29</v>
      </c>
      <c r="I75" s="16">
        <v>1</v>
      </c>
    </row>
    <row r="76" spans="1:9" x14ac:dyDescent="0.25">
      <c r="A76" s="3">
        <v>64.6875</v>
      </c>
      <c r="B76">
        <v>138</v>
      </c>
      <c r="C76" s="90">
        <v>0.11185</v>
      </c>
      <c r="D76" s="95">
        <v>0.19048000000000001</v>
      </c>
      <c r="E76" s="10">
        <v>84</v>
      </c>
      <c r="F76" s="11">
        <v>129.19999999999999</v>
      </c>
      <c r="G76" s="12">
        <v>2205</v>
      </c>
      <c r="H76" s="16">
        <v>29</v>
      </c>
      <c r="I76" s="16">
        <v>2</v>
      </c>
    </row>
    <row r="77" spans="1:9" x14ac:dyDescent="0.25">
      <c r="A77" s="3">
        <v>64.6875</v>
      </c>
      <c r="B77">
        <v>150</v>
      </c>
      <c r="C77" s="90">
        <v>0.10745</v>
      </c>
      <c r="D77" s="95">
        <v>6.2199999999999991E-2</v>
      </c>
      <c r="E77" s="10">
        <v>48.5</v>
      </c>
      <c r="F77" s="11">
        <v>74.5</v>
      </c>
      <c r="G77" s="12">
        <v>820</v>
      </c>
      <c r="H77" s="16">
        <v>29</v>
      </c>
      <c r="I77" s="16">
        <v>3</v>
      </c>
    </row>
    <row r="78" spans="1:9" x14ac:dyDescent="0.25">
      <c r="A78" s="3">
        <v>64.6875</v>
      </c>
      <c r="B78">
        <v>186</v>
      </c>
      <c r="C78" s="90">
        <v>0.11307</v>
      </c>
      <c r="D78" s="95">
        <v>3.1959999999999995E-2</v>
      </c>
      <c r="E78" s="10">
        <v>103.1</v>
      </c>
      <c r="F78" s="11">
        <v>28.6</v>
      </c>
      <c r="G78" s="12">
        <v>1345</v>
      </c>
      <c r="H78" s="16">
        <v>29</v>
      </c>
      <c r="I78" s="16">
        <v>6</v>
      </c>
    </row>
    <row r="79" spans="1:9" x14ac:dyDescent="0.25">
      <c r="A79" s="3">
        <v>64.6875</v>
      </c>
      <c r="B79">
        <v>198</v>
      </c>
      <c r="C79" s="90">
        <v>0.10737000000000001</v>
      </c>
      <c r="D79" s="95">
        <v>4.7460000000000002E-2</v>
      </c>
      <c r="E79" s="10">
        <v>110.9</v>
      </c>
      <c r="F79" s="11">
        <v>28.2</v>
      </c>
      <c r="G79" s="12">
        <v>1300</v>
      </c>
      <c r="H79" s="16">
        <v>29</v>
      </c>
      <c r="I79" s="16">
        <v>7</v>
      </c>
    </row>
    <row r="80" spans="1:9" x14ac:dyDescent="0.25">
      <c r="A80" s="3">
        <v>64.6875</v>
      </c>
      <c r="B80">
        <v>210</v>
      </c>
      <c r="C80" s="90">
        <v>-7.6850000000000043E-3</v>
      </c>
      <c r="D80" s="95">
        <v>4.5159999999999999E-2</v>
      </c>
      <c r="E80" s="10">
        <v>179.55</v>
      </c>
      <c r="F80" s="11">
        <v>32.700000000000003</v>
      </c>
      <c r="G80" s="12">
        <v>1670</v>
      </c>
      <c r="H80" s="16">
        <v>29</v>
      </c>
      <c r="I80" s="16">
        <v>8</v>
      </c>
    </row>
    <row r="81" spans="1:9" x14ac:dyDescent="0.25">
      <c r="A81" s="3">
        <v>64.6875</v>
      </c>
      <c r="B81">
        <v>222</v>
      </c>
      <c r="C81" s="90">
        <v>-7.209999999999989E-3</v>
      </c>
      <c r="D81" s="95">
        <v>3.8400000000000049E-3</v>
      </c>
      <c r="E81" s="10">
        <v>415.3</v>
      </c>
      <c r="F81" s="11">
        <v>137.80000000000001</v>
      </c>
      <c r="G81" s="12">
        <v>4530</v>
      </c>
      <c r="H81" s="16">
        <v>29</v>
      </c>
      <c r="I81" s="16">
        <v>9</v>
      </c>
    </row>
    <row r="82" spans="1:9" x14ac:dyDescent="0.25">
      <c r="A82" s="3">
        <v>64.6875</v>
      </c>
      <c r="B82">
        <v>234</v>
      </c>
      <c r="C82" s="90">
        <v>0.41553499999999993</v>
      </c>
      <c r="D82" s="95">
        <v>5.2465000000000019E-2</v>
      </c>
      <c r="E82" s="10">
        <v>153.65</v>
      </c>
      <c r="F82" s="11">
        <v>165.6</v>
      </c>
      <c r="G82" s="12">
        <v>560</v>
      </c>
      <c r="H82" s="16">
        <v>29</v>
      </c>
      <c r="I82" s="16">
        <v>10</v>
      </c>
    </row>
    <row r="83" spans="1:9" x14ac:dyDescent="0.25">
      <c r="A83" s="3">
        <v>30.9375</v>
      </c>
      <c r="B83">
        <v>186</v>
      </c>
      <c r="C83" s="90">
        <v>3.7139999999999999E-2</v>
      </c>
      <c r="D83" s="95">
        <v>2.1890000000000007E-2</v>
      </c>
      <c r="E83" s="10">
        <v>117.8</v>
      </c>
      <c r="F83" s="11">
        <v>29.6</v>
      </c>
      <c r="G83" s="12">
        <v>860</v>
      </c>
      <c r="H83" s="2">
        <v>35</v>
      </c>
      <c r="I83" s="2">
        <v>6</v>
      </c>
    </row>
    <row r="84" spans="1:9" x14ac:dyDescent="0.25">
      <c r="A84" s="18">
        <v>47.8125</v>
      </c>
      <c r="B84">
        <v>186</v>
      </c>
      <c r="C84" s="90">
        <v>2.9210526315789492E-2</v>
      </c>
      <c r="D84" s="95">
        <v>9.5789473684210532E-3</v>
      </c>
      <c r="E84" s="10">
        <v>132.57894736842107</v>
      </c>
      <c r="F84" s="11">
        <v>30.789473684210535</v>
      </c>
      <c r="G84" s="12">
        <v>642.10526315789468</v>
      </c>
      <c r="H84" s="16">
        <v>32</v>
      </c>
      <c r="I84" s="16">
        <v>6</v>
      </c>
    </row>
    <row r="85" spans="1:9" x14ac:dyDescent="0.25">
      <c r="A85" s="3">
        <v>14.0625</v>
      </c>
      <c r="B85">
        <v>186</v>
      </c>
      <c r="C85" s="90">
        <v>0.55068421052631578</v>
      </c>
      <c r="D85" s="95">
        <v>4.4089473684210533E-2</v>
      </c>
      <c r="E85" s="10">
        <v>196.73684210526318</v>
      </c>
      <c r="F85" s="11">
        <v>31.105263157894736</v>
      </c>
      <c r="G85" s="12">
        <v>578.94736842105272</v>
      </c>
      <c r="H85" s="16">
        <v>38</v>
      </c>
      <c r="I85" s="16">
        <v>6</v>
      </c>
    </row>
    <row r="86" spans="1:9" x14ac:dyDescent="0.25">
      <c r="A86" s="3">
        <v>2.8125</v>
      </c>
      <c r="B86">
        <v>126</v>
      </c>
      <c r="C86" s="90">
        <v>1.8228200000000001</v>
      </c>
      <c r="D86" s="95">
        <v>0.21999000000000002</v>
      </c>
      <c r="E86" s="10">
        <v>460.7</v>
      </c>
      <c r="F86" s="11">
        <v>93.95</v>
      </c>
      <c r="G86" s="12">
        <v>805</v>
      </c>
      <c r="H86" s="16">
        <v>40</v>
      </c>
      <c r="I86" s="16">
        <v>1</v>
      </c>
    </row>
    <row r="87" spans="1:9" x14ac:dyDescent="0.25">
      <c r="A87" s="3">
        <v>2.8125</v>
      </c>
      <c r="B87">
        <v>138</v>
      </c>
      <c r="C87" s="90">
        <v>0.58333000000000002</v>
      </c>
      <c r="D87" s="95">
        <v>-1.9499999999999995E-3</v>
      </c>
      <c r="E87" s="10">
        <v>135.6</v>
      </c>
      <c r="F87" s="11">
        <v>131</v>
      </c>
      <c r="G87" s="12">
        <v>1060</v>
      </c>
      <c r="H87" s="16">
        <v>40</v>
      </c>
      <c r="I87" s="16">
        <v>2</v>
      </c>
    </row>
    <row r="88" spans="1:9" x14ac:dyDescent="0.25">
      <c r="A88" s="3">
        <v>2.8125</v>
      </c>
      <c r="B88">
        <v>150</v>
      </c>
      <c r="C88" s="90">
        <v>0.33520000000000005</v>
      </c>
      <c r="D88" s="95">
        <v>4.8079999999999998E-2</v>
      </c>
      <c r="E88" s="10">
        <v>155</v>
      </c>
      <c r="F88" s="11">
        <v>84.2</v>
      </c>
      <c r="G88" s="12">
        <v>910</v>
      </c>
      <c r="H88" s="16">
        <v>40</v>
      </c>
      <c r="I88" s="16">
        <v>3</v>
      </c>
    </row>
    <row r="89" spans="1:9" x14ac:dyDescent="0.25">
      <c r="A89" s="3">
        <v>2.8125</v>
      </c>
      <c r="B89">
        <v>162</v>
      </c>
      <c r="C89" s="90">
        <v>0.29086000000000001</v>
      </c>
      <c r="D89" s="95">
        <v>8.9699999999999953E-3</v>
      </c>
      <c r="E89" s="10">
        <v>152.75</v>
      </c>
      <c r="F89" s="11">
        <v>58.15</v>
      </c>
      <c r="G89" s="12">
        <v>855</v>
      </c>
      <c r="H89" s="16">
        <v>40</v>
      </c>
      <c r="I89" s="16">
        <v>4</v>
      </c>
    </row>
    <row r="90" spans="1:9" x14ac:dyDescent="0.25">
      <c r="A90" s="3">
        <v>2.8125</v>
      </c>
      <c r="B90">
        <v>174</v>
      </c>
      <c r="C90" s="90">
        <v>0.31790499999999999</v>
      </c>
      <c r="D90" s="95">
        <v>2.607000000000001E-2</v>
      </c>
      <c r="E90" s="10">
        <v>261.60000000000002</v>
      </c>
      <c r="F90" s="11">
        <v>74.8</v>
      </c>
      <c r="G90" s="12">
        <v>1342.5</v>
      </c>
      <c r="H90" s="16">
        <v>40</v>
      </c>
      <c r="I90" s="16">
        <v>5</v>
      </c>
    </row>
    <row r="91" spans="1:9" x14ac:dyDescent="0.25">
      <c r="A91" s="3">
        <v>2.8125</v>
      </c>
      <c r="B91">
        <v>198</v>
      </c>
      <c r="C91" s="90">
        <v>0.56303999999999998</v>
      </c>
      <c r="D91" s="95">
        <v>3.0940000000000002E-2</v>
      </c>
      <c r="E91" s="10">
        <v>412.1</v>
      </c>
      <c r="F91" s="11">
        <v>63.5</v>
      </c>
      <c r="G91" s="12">
        <v>965</v>
      </c>
      <c r="H91" s="16">
        <v>40</v>
      </c>
      <c r="I91" s="16">
        <v>7</v>
      </c>
    </row>
    <row r="92" spans="1:9" x14ac:dyDescent="0.25">
      <c r="A92" s="3">
        <v>2.8125</v>
      </c>
      <c r="B92">
        <v>210</v>
      </c>
      <c r="C92" s="90">
        <v>0.37861000000000006</v>
      </c>
      <c r="D92" s="95">
        <v>3.202E-2</v>
      </c>
      <c r="E92" s="10">
        <v>384.45</v>
      </c>
      <c r="F92" s="11">
        <v>39.299999999999997</v>
      </c>
      <c r="G92" s="12">
        <v>1127.5</v>
      </c>
      <c r="H92" s="16">
        <v>40</v>
      </c>
      <c r="I92" s="16">
        <v>8</v>
      </c>
    </row>
    <row r="93" spans="1:9" x14ac:dyDescent="0.25">
      <c r="A93" s="3">
        <v>2.8125</v>
      </c>
      <c r="B93">
        <v>222</v>
      </c>
      <c r="C93" s="90">
        <v>1.1746000000000001</v>
      </c>
      <c r="D93" s="95">
        <v>3.8539999999999998E-2</v>
      </c>
      <c r="E93" s="10">
        <v>602</v>
      </c>
      <c r="F93" s="11">
        <v>59.8</v>
      </c>
      <c r="G93" s="12">
        <v>700</v>
      </c>
      <c r="H93" s="16">
        <v>40</v>
      </c>
      <c r="I93" s="16">
        <v>9</v>
      </c>
    </row>
    <row r="94" spans="1:9" x14ac:dyDescent="0.25">
      <c r="A94" s="3">
        <v>2.8125</v>
      </c>
      <c r="B94">
        <v>234</v>
      </c>
      <c r="C94" s="90">
        <v>2.413395</v>
      </c>
      <c r="D94" s="95">
        <v>0.10457999999999998</v>
      </c>
      <c r="E94" s="10">
        <v>1121.1500000000001</v>
      </c>
      <c r="F94" s="11">
        <v>89.85</v>
      </c>
      <c r="G94" s="12">
        <v>560</v>
      </c>
      <c r="H94" s="16">
        <v>40</v>
      </c>
      <c r="I94" s="16">
        <v>10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353"/>
  <sheetViews>
    <sheetView tabSelected="1" topLeftCell="A3" workbookViewId="0">
      <selection activeCell="AL4" sqref="AL4"/>
    </sheetView>
  </sheetViews>
  <sheetFormatPr defaultRowHeight="16.5" thickTop="1" thickBottom="1" x14ac:dyDescent="0.3"/>
  <cols>
    <col min="1" max="1" width="9.140625" style="4"/>
    <col min="2" max="3" width="9.140625" style="2"/>
    <col min="4" max="4" width="1.5703125" style="5" customWidth="1"/>
    <col min="5" max="6" width="9.140625" style="1"/>
    <col min="7" max="7" width="9.140625" style="3" customWidth="1"/>
    <col min="8" max="8" width="1.7109375" style="5" customWidth="1"/>
    <col min="9" max="9" width="9.140625" style="2"/>
    <col min="10" max="10" width="9.140625" style="3"/>
    <col min="11" max="11" width="9.140625" style="6"/>
    <col min="12" max="12" width="1.85546875" style="5" customWidth="1"/>
    <col min="13" max="13" width="27.42578125" customWidth="1"/>
    <col min="14" max="14" width="2.140625" style="5" customWidth="1"/>
    <col min="15" max="15" width="9.140625" style="8"/>
    <col min="16" max="16" width="9.140625" style="9"/>
    <col min="17" max="17" width="1.140625" style="5" customWidth="1"/>
    <col min="18" max="18" width="9.140625" style="10"/>
    <col min="19" max="19" width="9.140625" style="11"/>
    <col min="20" max="20" width="9.140625" style="12"/>
    <col min="21" max="21" width="1.140625" style="5" customWidth="1"/>
    <col min="22" max="22" width="10" style="7" customWidth="1"/>
    <col min="23" max="23" width="9.140625" style="13"/>
    <col min="24" max="24" width="1.140625" style="5" customWidth="1"/>
    <col min="25" max="25" width="9.5703125" style="56" customWidth="1"/>
    <col min="26" max="26" width="9.5703125" style="13" customWidth="1"/>
    <col min="27" max="28" width="9.28515625" customWidth="1"/>
    <col min="29" max="29" width="57.28515625" customWidth="1"/>
    <col min="30" max="30" width="10.140625" style="5" customWidth="1"/>
    <col min="31" max="31" width="16.42578125" style="8" customWidth="1"/>
    <col min="32" max="32" width="9.140625" style="3"/>
    <col min="34" max="34" width="1.5703125" style="5" customWidth="1"/>
    <col min="35" max="35" width="11.140625" style="2" customWidth="1"/>
    <col min="36" max="36" width="9.140625" style="7"/>
    <col min="37" max="37" width="13.28515625" style="8" customWidth="1"/>
    <col min="38" max="38" width="9.140625" style="56"/>
    <col min="39" max="39" width="12.42578125" style="9" customWidth="1"/>
    <col min="40" max="40" width="2.42578125" style="5" customWidth="1"/>
    <col min="41" max="41" width="11.85546875" style="90" customWidth="1"/>
    <col min="42" max="42" width="2.28515625" style="5" customWidth="1"/>
    <col min="43" max="43" width="12" style="95" customWidth="1"/>
    <col min="44" max="44" width="2.140625" style="5" customWidth="1"/>
    <col min="45" max="45" width="11.5703125" style="10" customWidth="1"/>
    <col min="46" max="46" width="10.85546875" style="11" customWidth="1"/>
    <col min="47" max="47" width="11.140625" style="12" customWidth="1"/>
    <col min="62" max="62" width="9.28515625" customWidth="1"/>
    <col min="63" max="63" width="3.7109375" style="5" customWidth="1"/>
  </cols>
  <sheetData>
    <row r="1" spans="1:63" s="5" customFormat="1" thickTop="1" thickBot="1" x14ac:dyDescent="0.3">
      <c r="A1" s="5" t="s">
        <v>0</v>
      </c>
      <c r="B1" s="5" t="s">
        <v>1</v>
      </c>
      <c r="C1" s="5" t="s">
        <v>2</v>
      </c>
      <c r="E1" s="5" t="s">
        <v>3</v>
      </c>
      <c r="F1" s="5" t="s">
        <v>4</v>
      </c>
      <c r="G1" s="5" t="s">
        <v>5</v>
      </c>
      <c r="I1" s="5" t="s">
        <v>6</v>
      </c>
      <c r="J1" s="5" t="s">
        <v>7</v>
      </c>
      <c r="K1" s="5" t="s">
        <v>8</v>
      </c>
      <c r="M1" s="5" t="s">
        <v>9</v>
      </c>
      <c r="O1" s="5" t="s">
        <v>10</v>
      </c>
      <c r="P1" s="5" t="s">
        <v>11</v>
      </c>
      <c r="R1" s="5" t="s">
        <v>12</v>
      </c>
      <c r="S1" s="5" t="s">
        <v>13</v>
      </c>
      <c r="T1" s="5" t="s">
        <v>14</v>
      </c>
      <c r="V1" s="5" t="s">
        <v>15</v>
      </c>
      <c r="W1" s="5" t="s">
        <v>16</v>
      </c>
      <c r="Y1" s="5" t="s">
        <v>28</v>
      </c>
      <c r="Z1" s="5" t="s">
        <v>29</v>
      </c>
      <c r="AA1" s="5" t="s">
        <v>17</v>
      </c>
      <c r="AB1" s="5" t="s">
        <v>21</v>
      </c>
      <c r="AC1" s="5" t="s">
        <v>18</v>
      </c>
      <c r="AE1" s="5" t="s">
        <v>73</v>
      </c>
      <c r="AF1" s="5" t="s">
        <v>74</v>
      </c>
      <c r="AG1" s="5" t="s">
        <v>75</v>
      </c>
      <c r="AI1" s="5" t="s">
        <v>76</v>
      </c>
      <c r="AJ1" s="5" t="s">
        <v>77</v>
      </c>
      <c r="AK1" s="5" t="s">
        <v>78</v>
      </c>
      <c r="AL1" s="5" t="s">
        <v>79</v>
      </c>
      <c r="AM1" s="5" t="s">
        <v>80</v>
      </c>
      <c r="AO1" s="5" t="s">
        <v>82</v>
      </c>
      <c r="AQ1" s="5" t="s">
        <v>83</v>
      </c>
      <c r="AS1" s="5" t="s">
        <v>84</v>
      </c>
      <c r="AT1" s="5" t="s">
        <v>85</v>
      </c>
      <c r="AU1" s="5" t="s">
        <v>86</v>
      </c>
    </row>
    <row r="2" spans="1:63" thickTop="1" thickBot="1" x14ac:dyDescent="0.3">
      <c r="A2" s="4">
        <v>25</v>
      </c>
      <c r="B2" s="2">
        <v>3</v>
      </c>
      <c r="C2" s="2">
        <v>5</v>
      </c>
      <c r="E2" s="1">
        <v>132</v>
      </c>
      <c r="F2" s="1">
        <v>14</v>
      </c>
      <c r="G2" s="3">
        <f>E2-F2</f>
        <v>118</v>
      </c>
      <c r="I2" s="14">
        <v>10</v>
      </c>
      <c r="J2" s="3">
        <f>225-5.625*($B2-0.5+(I2-0.5*G2)/G2)</f>
        <v>213.27330508474577</v>
      </c>
      <c r="K2" s="6">
        <f>120+12*(C2-0.5)</f>
        <v>174</v>
      </c>
      <c r="O2" s="8">
        <v>7.0000000000000007E-2</v>
      </c>
      <c r="P2" s="9">
        <v>1.0999999999999999E-2</v>
      </c>
      <c r="R2" s="10">
        <v>60</v>
      </c>
      <c r="V2" s="7">
        <v>222</v>
      </c>
      <c r="W2" s="13">
        <f t="shared" ref="W2:W44" si="0">SQRT(0.1^2+0.1^2+1/V2)*100</f>
        <v>15.653914687548451</v>
      </c>
      <c r="Z2" s="13" t="e">
        <f>SQRT(0.1^2+0.1^2+1/Y2)</f>
        <v>#DIV/0!</v>
      </c>
      <c r="AB2">
        <v>20</v>
      </c>
      <c r="AC2" s="53"/>
      <c r="AE2" s="8">
        <f>(O2*AB2+O3*AB3+O4*AB4)/100</f>
        <v>0.11559999999999998</v>
      </c>
      <c r="AF2" s="3">
        <f>225-5.625*($B2-0.5)</f>
        <v>210.9375</v>
      </c>
      <c r="AG2">
        <f>K2</f>
        <v>174</v>
      </c>
      <c r="AI2" s="2">
        <v>0</v>
      </c>
      <c r="AJ2" s="7">
        <f>AI2*R2*0.000001</f>
        <v>0</v>
      </c>
      <c r="AK2" s="8">
        <f>O2-AJ2</f>
        <v>7.0000000000000007E-2</v>
      </c>
      <c r="AL2" s="56">
        <f>S2*AI2*0.000001</f>
        <v>0</v>
      </c>
      <c r="AM2" s="9">
        <f>P2-AL2</f>
        <v>1.0999999999999999E-2</v>
      </c>
      <c r="AO2" s="90">
        <f>($AB2*AK2+$AB3*AK3+$AB4*AK4)/100</f>
        <v>0.11559999999999998</v>
      </c>
      <c r="AQ2" s="95">
        <f>($AB2*AM2+$AB3*AM3+$AB4*AM4)/100</f>
        <v>2.3399999999999997E-2</v>
      </c>
      <c r="AS2" s="10">
        <f>($AB2*R2+$AB3*R3+$AB4*R4)/100</f>
        <v>225.5</v>
      </c>
      <c r="AT2" s="11">
        <f>($AB2*S2+$AB3*S3+$AB4*S4)/100</f>
        <v>0</v>
      </c>
      <c r="AU2" s="12">
        <f>($AB2*T2+$AB3*T3+$AB4*T4)/100</f>
        <v>0</v>
      </c>
    </row>
    <row r="3" spans="1:63" thickTop="1" thickBot="1" x14ac:dyDescent="0.3">
      <c r="A3" s="4">
        <v>25</v>
      </c>
      <c r="B3" s="2">
        <v>3</v>
      </c>
      <c r="C3" s="2">
        <v>5</v>
      </c>
      <c r="E3" s="1">
        <v>132</v>
      </c>
      <c r="F3" s="1">
        <v>14</v>
      </c>
      <c r="G3" s="3">
        <f t="shared" ref="G3:G44" si="1">E3-F3</f>
        <v>118</v>
      </c>
      <c r="I3" s="2">
        <v>49</v>
      </c>
      <c r="J3" s="3">
        <f>225-5.625*(B3-0.5+(I3-0.5*G3)/G3)</f>
        <v>211.41419491525423</v>
      </c>
      <c r="K3" s="6">
        <f t="shared" ref="K3:K44" si="2">120+12*(C3-0.5)</f>
        <v>174</v>
      </c>
      <c r="O3" s="8">
        <v>7.5999999999999998E-2</v>
      </c>
      <c r="P3" s="9">
        <v>1.2999999999999999E-2</v>
      </c>
      <c r="R3" s="10">
        <v>190</v>
      </c>
      <c r="V3" s="7">
        <v>614</v>
      </c>
      <c r="W3" s="13">
        <f t="shared" si="0"/>
        <v>14.706687082791287</v>
      </c>
      <c r="Z3" s="13" t="e">
        <f t="shared" ref="Z3:Z44" si="3">SQRT(0.1^2+0.1^2+1/Y3)</f>
        <v>#DIV/0!</v>
      </c>
      <c r="AB3">
        <v>65</v>
      </c>
      <c r="AI3" s="2">
        <v>0</v>
      </c>
      <c r="AJ3" s="7">
        <f t="shared" ref="AJ3:AJ44" si="4">AI3*R3*0.000001</f>
        <v>0</v>
      </c>
      <c r="AK3" s="8">
        <f t="shared" ref="AK3:AK44" si="5">O3-AJ3</f>
        <v>7.5999999999999998E-2</v>
      </c>
      <c r="AL3" s="56">
        <f t="shared" ref="AL3:AL44" si="6">S3*AI3*0.000001</f>
        <v>0</v>
      </c>
      <c r="AM3" s="9">
        <f t="shared" ref="AM3:AM44" si="7">P3-AL3</f>
        <v>1.2999999999999999E-2</v>
      </c>
    </row>
    <row r="4" spans="1:63" s="27" customFormat="1" thickTop="1" thickBot="1" x14ac:dyDescent="0.3">
      <c r="A4" s="21">
        <v>25</v>
      </c>
      <c r="B4" s="22">
        <v>3</v>
      </c>
      <c r="C4" s="22">
        <v>5</v>
      </c>
      <c r="D4" s="23"/>
      <c r="E4" s="24">
        <v>132</v>
      </c>
      <c r="F4" s="24">
        <v>14</v>
      </c>
      <c r="G4" s="25">
        <f t="shared" si="1"/>
        <v>118</v>
      </c>
      <c r="H4" s="23"/>
      <c r="I4" s="22">
        <v>108</v>
      </c>
      <c r="J4" s="3">
        <f>225-5.625*(B4-0.5+(I4-0.5*G4)/G4)</f>
        <v>208.60169491525423</v>
      </c>
      <c r="K4" s="48">
        <f t="shared" si="2"/>
        <v>174</v>
      </c>
      <c r="L4" s="23"/>
      <c r="N4" s="23"/>
      <c r="O4" s="28">
        <v>0.34799999999999998</v>
      </c>
      <c r="P4" s="29">
        <v>8.5000000000000006E-2</v>
      </c>
      <c r="Q4" s="23"/>
      <c r="R4" s="30">
        <v>600</v>
      </c>
      <c r="S4" s="31"/>
      <c r="T4" s="32"/>
      <c r="U4" s="23"/>
      <c r="V4" s="33">
        <v>920</v>
      </c>
      <c r="W4" s="75">
        <f t="shared" si="0"/>
        <v>14.52134860188238</v>
      </c>
      <c r="X4" s="5"/>
      <c r="Y4" s="56"/>
      <c r="Z4" s="13" t="e">
        <f t="shared" si="3"/>
        <v>#DIV/0!</v>
      </c>
      <c r="AB4" s="27">
        <v>15</v>
      </c>
      <c r="AD4" s="5"/>
      <c r="AE4" s="28"/>
      <c r="AF4" s="3"/>
      <c r="AH4" s="5"/>
      <c r="AI4" s="2">
        <v>0</v>
      </c>
      <c r="AJ4" s="7">
        <f t="shared" si="4"/>
        <v>0</v>
      </c>
      <c r="AK4" s="8">
        <f t="shared" si="5"/>
        <v>0.34799999999999998</v>
      </c>
      <c r="AL4" s="56">
        <f t="shared" si="6"/>
        <v>0</v>
      </c>
      <c r="AM4" s="9">
        <f t="shared" si="7"/>
        <v>8.5000000000000006E-2</v>
      </c>
      <c r="AN4" s="5"/>
      <c r="AO4" s="91"/>
      <c r="AP4" s="5"/>
      <c r="AQ4" s="96"/>
      <c r="AR4" s="5"/>
      <c r="AS4" s="30"/>
      <c r="AT4" s="31"/>
      <c r="AU4" s="32"/>
      <c r="BK4" s="5"/>
    </row>
    <row r="5" spans="1:63" thickTop="1" thickBot="1" x14ac:dyDescent="0.3">
      <c r="A5" s="15">
        <v>55</v>
      </c>
      <c r="B5" s="16">
        <v>6</v>
      </c>
      <c r="C5" s="16">
        <v>5</v>
      </c>
      <c r="D5" s="17"/>
      <c r="E5" s="1">
        <v>134</v>
      </c>
      <c r="F5" s="1">
        <v>12</v>
      </c>
      <c r="G5" s="18">
        <f t="shared" si="1"/>
        <v>122</v>
      </c>
      <c r="H5" s="17"/>
      <c r="I5" s="19">
        <v>10</v>
      </c>
      <c r="J5" s="3">
        <f>225-5.625*(B5-0.5+(I5-0.5*G5)/G5)</f>
        <v>196.4139344262295</v>
      </c>
      <c r="K5" s="20">
        <f t="shared" si="2"/>
        <v>174</v>
      </c>
      <c r="L5" s="17"/>
      <c r="N5" s="17"/>
      <c r="O5" s="8">
        <v>0.30499999999999999</v>
      </c>
      <c r="P5" s="9">
        <v>6.5000000000000002E-2</v>
      </c>
      <c r="Q5" s="17"/>
      <c r="R5" s="10">
        <v>200</v>
      </c>
      <c r="U5" s="17"/>
      <c r="V5" s="7">
        <v>1418</v>
      </c>
      <c r="W5" s="13">
        <f t="shared" si="0"/>
        <v>14.389308050692193</v>
      </c>
      <c r="Z5" s="13" t="e">
        <f t="shared" si="3"/>
        <v>#DIV/0!</v>
      </c>
      <c r="AB5" s="72">
        <v>5</v>
      </c>
      <c r="AE5" s="8">
        <f>(O5*AB5+O6*AB6+O7*AB7)/100</f>
        <v>0.21014999999999998</v>
      </c>
      <c r="AF5" s="3">
        <f>225-5.625*($B5-0.5)</f>
        <v>194.0625</v>
      </c>
      <c r="AG5">
        <f>K5</f>
        <v>174</v>
      </c>
      <c r="AI5" s="2">
        <v>0</v>
      </c>
      <c r="AJ5" s="7">
        <f t="shared" si="4"/>
        <v>0</v>
      </c>
      <c r="AK5" s="8">
        <f t="shared" si="5"/>
        <v>0.30499999999999999</v>
      </c>
      <c r="AL5" s="56">
        <f t="shared" si="6"/>
        <v>0</v>
      </c>
      <c r="AM5" s="9">
        <f t="shared" si="7"/>
        <v>6.5000000000000002E-2</v>
      </c>
      <c r="AO5" s="90">
        <f>($AB5*AK5+$AB6*AK6+$AB7*AK7)/100</f>
        <v>0.21014999999999998</v>
      </c>
      <c r="AQ5" s="95">
        <f>($AB5*AM5+$AB6*AM6+$AB7*AM7)/100</f>
        <v>9.5449999999999993E-2</v>
      </c>
      <c r="AS5" s="10">
        <f>($AB5*R5+$AB6*R6+$AB7*R7)/100</f>
        <v>181</v>
      </c>
      <c r="AT5" s="11">
        <f>($AB5*S5+$AB6*S6+$AB7*S7)/100</f>
        <v>0</v>
      </c>
      <c r="AU5" s="12">
        <f>($AB5*T5+$AB6*T6+$AB7*T7)/100</f>
        <v>0</v>
      </c>
    </row>
    <row r="6" spans="1:63" thickTop="1" thickBot="1" x14ac:dyDescent="0.3">
      <c r="A6" s="4">
        <v>55</v>
      </c>
      <c r="B6" s="93">
        <v>6</v>
      </c>
      <c r="C6" s="93">
        <v>5</v>
      </c>
      <c r="E6" s="1">
        <v>134</v>
      </c>
      <c r="F6" s="1">
        <v>12</v>
      </c>
      <c r="G6" s="3">
        <f t="shared" si="1"/>
        <v>122</v>
      </c>
      <c r="I6" s="2">
        <v>61</v>
      </c>
      <c r="J6" s="3">
        <f>225-5.625*(B6-0.5+(I6-0.5*G6)/G6)</f>
        <v>194.0625</v>
      </c>
      <c r="K6" s="6">
        <f t="shared" si="2"/>
        <v>174</v>
      </c>
      <c r="O6" s="8">
        <v>0.20200000000000001</v>
      </c>
      <c r="P6" s="9">
        <v>9.8000000000000004E-2</v>
      </c>
      <c r="R6" s="10">
        <v>180</v>
      </c>
      <c r="V6" s="7">
        <v>819</v>
      </c>
      <c r="W6" s="13">
        <f t="shared" si="0"/>
        <v>14.567429842289004</v>
      </c>
      <c r="Z6" s="13" t="e">
        <f t="shared" si="3"/>
        <v>#DIV/0!</v>
      </c>
      <c r="AB6" s="72">
        <v>90</v>
      </c>
      <c r="AI6" s="2">
        <v>0</v>
      </c>
      <c r="AJ6" s="7">
        <f t="shared" si="4"/>
        <v>0</v>
      </c>
      <c r="AK6" s="8">
        <f t="shared" si="5"/>
        <v>0.20200000000000001</v>
      </c>
      <c r="AL6" s="56">
        <f t="shared" si="6"/>
        <v>0</v>
      </c>
      <c r="AM6" s="9">
        <f t="shared" si="7"/>
        <v>9.8000000000000004E-2</v>
      </c>
    </row>
    <row r="7" spans="1:63" s="40" customFormat="1" thickTop="1" thickBot="1" x14ac:dyDescent="0.3">
      <c r="A7" s="35">
        <v>55</v>
      </c>
      <c r="B7" s="36">
        <v>6</v>
      </c>
      <c r="C7" s="36">
        <v>5</v>
      </c>
      <c r="D7" s="37"/>
      <c r="E7" s="38">
        <v>134</v>
      </c>
      <c r="F7" s="38">
        <v>12</v>
      </c>
      <c r="G7" s="39">
        <f t="shared" si="1"/>
        <v>122</v>
      </c>
      <c r="H7" s="37"/>
      <c r="I7" s="36">
        <v>112</v>
      </c>
      <c r="J7" s="3">
        <f>225-5.625*(B7-0.5+(I7-0.5*G7)/G7)</f>
        <v>191.7110655737705</v>
      </c>
      <c r="K7" s="48">
        <f t="shared" si="2"/>
        <v>174</v>
      </c>
      <c r="L7" s="37"/>
      <c r="N7" s="37"/>
      <c r="O7" s="41">
        <v>0.26200000000000001</v>
      </c>
      <c r="P7" s="42">
        <v>0.08</v>
      </c>
      <c r="Q7" s="37"/>
      <c r="R7" s="43">
        <v>180</v>
      </c>
      <c r="S7" s="44"/>
      <c r="T7" s="45"/>
      <c r="U7" s="37"/>
      <c r="V7" s="46">
        <v>1116</v>
      </c>
      <c r="W7" s="75">
        <f t="shared" si="0"/>
        <v>14.455468635665278</v>
      </c>
      <c r="X7" s="5"/>
      <c r="Y7" s="56"/>
      <c r="Z7" s="13" t="e">
        <f t="shared" si="3"/>
        <v>#DIV/0!</v>
      </c>
      <c r="AB7" s="40">
        <v>5</v>
      </c>
      <c r="AD7" s="5"/>
      <c r="AE7" s="28"/>
      <c r="AF7" s="3"/>
      <c r="AH7" s="5"/>
      <c r="AI7" s="83">
        <v>0</v>
      </c>
      <c r="AJ7" s="7">
        <f t="shared" si="4"/>
        <v>0</v>
      </c>
      <c r="AK7" s="8">
        <f t="shared" si="5"/>
        <v>0.26200000000000001</v>
      </c>
      <c r="AL7" s="56">
        <f t="shared" si="6"/>
        <v>0</v>
      </c>
      <c r="AM7" s="9">
        <f t="shared" si="7"/>
        <v>0.08</v>
      </c>
      <c r="AN7" s="5"/>
      <c r="AO7" s="91"/>
      <c r="AP7" s="5"/>
      <c r="AQ7" s="96"/>
      <c r="AR7" s="5"/>
      <c r="AS7" s="30"/>
      <c r="AT7" s="31"/>
      <c r="AU7" s="32"/>
      <c r="BK7" s="5"/>
    </row>
    <row r="8" spans="1:63" thickTop="1" thickBot="1" x14ac:dyDescent="0.3">
      <c r="A8" s="15">
        <v>65</v>
      </c>
      <c r="B8" s="16">
        <v>7</v>
      </c>
      <c r="C8" s="16">
        <v>5</v>
      </c>
      <c r="D8" s="17"/>
      <c r="E8" s="1">
        <v>133</v>
      </c>
      <c r="F8" s="1">
        <v>10</v>
      </c>
      <c r="G8" s="18">
        <f t="shared" si="1"/>
        <v>123</v>
      </c>
      <c r="H8" s="17"/>
      <c r="I8" s="16">
        <v>10</v>
      </c>
      <c r="J8" s="18">
        <f>225-5.625*(B8-0.5)</f>
        <v>188.4375</v>
      </c>
      <c r="K8" s="20">
        <f t="shared" si="2"/>
        <v>174</v>
      </c>
      <c r="L8" s="17"/>
      <c r="N8" s="17"/>
      <c r="O8" s="8">
        <v>0.12</v>
      </c>
      <c r="P8" s="9">
        <v>4.8000000000000001E-2</v>
      </c>
      <c r="Q8" s="17"/>
      <c r="R8" s="10">
        <v>0</v>
      </c>
      <c r="S8" s="11">
        <v>50</v>
      </c>
      <c r="T8" s="12">
        <v>1600</v>
      </c>
      <c r="U8" s="17"/>
      <c r="V8" s="7">
        <v>339</v>
      </c>
      <c r="W8" s="13">
        <f t="shared" si="0"/>
        <v>15.1492087276447</v>
      </c>
      <c r="Z8" s="13" t="e">
        <f t="shared" si="3"/>
        <v>#DIV/0!</v>
      </c>
      <c r="AB8" s="72">
        <v>20</v>
      </c>
      <c r="AE8" s="8">
        <f>(O8*AB8+O9*AB9+O10*AB10+O11*AB11+O12*AB12)/100</f>
        <v>0.22139999999999996</v>
      </c>
      <c r="AF8" s="3">
        <f>225-5.625*($B8-0.5)</f>
        <v>188.4375</v>
      </c>
      <c r="AG8">
        <f>K8</f>
        <v>174</v>
      </c>
      <c r="AI8" s="2">
        <v>600</v>
      </c>
      <c r="AJ8" s="7">
        <f t="shared" si="4"/>
        <v>0</v>
      </c>
      <c r="AK8" s="8">
        <f t="shared" si="5"/>
        <v>0.12</v>
      </c>
      <c r="AL8" s="56">
        <f t="shared" si="6"/>
        <v>0.03</v>
      </c>
      <c r="AM8" s="9">
        <f t="shared" si="7"/>
        <v>1.8000000000000002E-2</v>
      </c>
      <c r="AO8" s="90">
        <f>($AB8*AK8+$AB9*AK9+$AB10*AK10+$AB11*AK11+$AB12*AK12)/100</f>
        <v>0.14180000000000001</v>
      </c>
      <c r="AQ8" s="95">
        <f>($AB8*AM8+$AB9*AM9+$AB10*AM10+$AB11*AM11+$AB12*AM12)/100</f>
        <v>1.9300000000000001E-2</v>
      </c>
      <c r="AS8" s="10">
        <f>($AB8*R8+$AB9*R9+$AB10*R10+$AB11*R11+$AB12*R12)/100</f>
        <v>158</v>
      </c>
      <c r="AT8" s="11">
        <f>($AB8*S8+$AB9*S9+$AB10*S10+$AB11*S11+$AB12*S12)/100</f>
        <v>41</v>
      </c>
      <c r="AU8" s="12">
        <f>($AB8*T8+$AB9*T9+$AB10*T10+$AB11*T11+$AB12*T12)/100</f>
        <v>1160</v>
      </c>
    </row>
    <row r="9" spans="1:63" thickTop="1" thickBot="1" x14ac:dyDescent="0.3">
      <c r="A9" s="15">
        <v>65</v>
      </c>
      <c r="B9" s="93">
        <v>7</v>
      </c>
      <c r="C9" s="93">
        <v>5</v>
      </c>
      <c r="E9" s="1">
        <v>133</v>
      </c>
      <c r="F9" s="1">
        <v>10</v>
      </c>
      <c r="G9" s="3">
        <f t="shared" si="1"/>
        <v>123</v>
      </c>
      <c r="I9" s="2">
        <v>36</v>
      </c>
      <c r="J9" s="3">
        <f>225-5.625*(B9-0.5)</f>
        <v>188.4375</v>
      </c>
      <c r="K9" s="6">
        <f t="shared" si="2"/>
        <v>174</v>
      </c>
      <c r="O9" s="8">
        <v>0.29099999999999998</v>
      </c>
      <c r="P9" s="9">
        <v>4.2000000000000003E-2</v>
      </c>
      <c r="R9" s="10">
        <v>200</v>
      </c>
      <c r="S9" s="11">
        <v>50</v>
      </c>
      <c r="T9" s="12">
        <v>1200</v>
      </c>
      <c r="V9" s="7">
        <v>619</v>
      </c>
      <c r="W9" s="13">
        <f t="shared" si="0"/>
        <v>14.702213739875663</v>
      </c>
      <c r="Z9" s="13" t="e">
        <f t="shared" si="3"/>
        <v>#DIV/0!</v>
      </c>
      <c r="AB9" s="72">
        <v>20</v>
      </c>
      <c r="AI9" s="2">
        <v>600</v>
      </c>
      <c r="AJ9" s="7">
        <f t="shared" si="4"/>
        <v>0.12</v>
      </c>
      <c r="AK9" s="8">
        <f t="shared" si="5"/>
        <v>0.17099999999999999</v>
      </c>
      <c r="AL9" s="56">
        <f t="shared" si="6"/>
        <v>0.03</v>
      </c>
      <c r="AM9" s="9">
        <f t="shared" si="7"/>
        <v>1.2000000000000004E-2</v>
      </c>
    </row>
    <row r="10" spans="1:63" thickTop="1" thickBot="1" x14ac:dyDescent="0.3">
      <c r="A10" s="15">
        <v>65</v>
      </c>
      <c r="B10" s="93">
        <v>7</v>
      </c>
      <c r="C10" s="93">
        <v>5</v>
      </c>
      <c r="E10" s="1">
        <v>133</v>
      </c>
      <c r="F10" s="1">
        <v>10</v>
      </c>
      <c r="G10" s="3">
        <f t="shared" si="1"/>
        <v>123</v>
      </c>
      <c r="I10" s="2">
        <v>62</v>
      </c>
      <c r="J10" s="3">
        <f>225-5.625*(B10-0.5)</f>
        <v>188.4375</v>
      </c>
      <c r="K10" s="6">
        <f t="shared" si="2"/>
        <v>174</v>
      </c>
      <c r="O10" s="8">
        <v>0.26</v>
      </c>
      <c r="P10" s="9">
        <v>4.8000000000000001E-2</v>
      </c>
      <c r="R10" s="10">
        <v>170</v>
      </c>
      <c r="S10" s="11">
        <v>25</v>
      </c>
      <c r="T10" s="12">
        <v>1000</v>
      </c>
      <c r="V10" s="7">
        <v>577</v>
      </c>
      <c r="W10" s="13">
        <f t="shared" si="0"/>
        <v>14.742151217862654</v>
      </c>
      <c r="Z10" s="13" t="e">
        <f t="shared" si="3"/>
        <v>#DIV/0!</v>
      </c>
      <c r="AB10" s="72">
        <v>20</v>
      </c>
      <c r="AI10" s="2">
        <v>500</v>
      </c>
      <c r="AJ10" s="7">
        <f>AI10*R10*0.000001</f>
        <v>8.4999999999999992E-2</v>
      </c>
      <c r="AK10" s="8">
        <f t="shared" si="5"/>
        <v>0.17500000000000002</v>
      </c>
      <c r="AL10" s="56">
        <f t="shared" si="6"/>
        <v>1.2499999999999999E-2</v>
      </c>
      <c r="AM10" s="9">
        <f t="shared" si="7"/>
        <v>3.5500000000000004E-2</v>
      </c>
    </row>
    <row r="11" spans="1:63" thickTop="1" thickBot="1" x14ac:dyDescent="0.3">
      <c r="A11" s="15">
        <v>65</v>
      </c>
      <c r="B11" s="2">
        <v>7</v>
      </c>
      <c r="C11" s="2">
        <v>5</v>
      </c>
      <c r="E11" s="1">
        <v>133</v>
      </c>
      <c r="F11" s="1">
        <v>10</v>
      </c>
      <c r="G11" s="3">
        <f t="shared" si="1"/>
        <v>123</v>
      </c>
      <c r="I11" s="2">
        <v>88</v>
      </c>
      <c r="J11" s="3">
        <f>225-5.625*(B11-0.5)</f>
        <v>188.4375</v>
      </c>
      <c r="K11" s="6">
        <f t="shared" si="2"/>
        <v>174</v>
      </c>
      <c r="M11" t="s">
        <v>20</v>
      </c>
      <c r="O11" s="8">
        <v>0.19600000000000001</v>
      </c>
      <c r="P11" s="9">
        <v>5.1999999999999998E-2</v>
      </c>
      <c r="R11" s="10">
        <v>170</v>
      </c>
      <c r="S11" s="11">
        <v>40</v>
      </c>
      <c r="T11" s="12">
        <v>1100</v>
      </c>
      <c r="V11" s="7">
        <v>395</v>
      </c>
      <c r="W11" s="13">
        <f t="shared" si="0"/>
        <v>15.010544816768062</v>
      </c>
      <c r="Z11" s="13" t="e">
        <f t="shared" si="3"/>
        <v>#DIV/0!</v>
      </c>
      <c r="AB11" s="72">
        <v>20</v>
      </c>
      <c r="AI11" s="2">
        <v>400</v>
      </c>
      <c r="AJ11" s="7">
        <f t="shared" si="4"/>
        <v>6.7999999999999991E-2</v>
      </c>
      <c r="AK11" s="8">
        <f t="shared" si="5"/>
        <v>0.128</v>
      </c>
      <c r="AL11" s="56">
        <f t="shared" si="6"/>
        <v>1.6E-2</v>
      </c>
      <c r="AM11" s="9">
        <f t="shared" si="7"/>
        <v>3.5999999999999997E-2</v>
      </c>
    </row>
    <row r="12" spans="1:63" s="27" customFormat="1" thickTop="1" thickBot="1" x14ac:dyDescent="0.3">
      <c r="A12" s="47">
        <v>65</v>
      </c>
      <c r="B12" s="22">
        <v>7</v>
      </c>
      <c r="C12" s="22">
        <v>5</v>
      </c>
      <c r="D12" s="23"/>
      <c r="E12" s="24">
        <v>133</v>
      </c>
      <c r="F12" s="24">
        <v>10</v>
      </c>
      <c r="G12" s="25">
        <f t="shared" si="1"/>
        <v>123</v>
      </c>
      <c r="H12" s="23"/>
      <c r="I12" s="22">
        <v>113</v>
      </c>
      <c r="J12" s="25">
        <f>225-5.625*(B12-0.5)</f>
        <v>188.4375</v>
      </c>
      <c r="K12" s="48">
        <f t="shared" si="2"/>
        <v>174</v>
      </c>
      <c r="L12" s="23"/>
      <c r="M12" s="27" t="s">
        <v>19</v>
      </c>
      <c r="N12" s="23"/>
      <c r="O12" s="28">
        <v>0.24</v>
      </c>
      <c r="P12" s="29">
        <v>1.4999999999999999E-2</v>
      </c>
      <c r="Q12" s="23"/>
      <c r="R12" s="30">
        <v>250</v>
      </c>
      <c r="S12" s="31">
        <v>40</v>
      </c>
      <c r="T12" s="32">
        <v>900</v>
      </c>
      <c r="U12" s="23"/>
      <c r="V12" s="33">
        <v>466</v>
      </c>
      <c r="W12" s="75">
        <f t="shared" si="0"/>
        <v>14.881506223088145</v>
      </c>
      <c r="X12" s="5"/>
      <c r="Y12" s="56"/>
      <c r="Z12" s="13" t="e">
        <f t="shared" si="3"/>
        <v>#DIV/0!</v>
      </c>
      <c r="AB12" s="27">
        <v>20</v>
      </c>
      <c r="AD12" s="5"/>
      <c r="AE12" s="28"/>
      <c r="AF12" s="3"/>
      <c r="AH12" s="5"/>
      <c r="AI12" s="2">
        <v>500</v>
      </c>
      <c r="AJ12" s="7">
        <f t="shared" si="4"/>
        <v>0.125</v>
      </c>
      <c r="AK12" s="8">
        <f t="shared" si="5"/>
        <v>0.11499999999999999</v>
      </c>
      <c r="AL12" s="56">
        <f t="shared" si="6"/>
        <v>0.02</v>
      </c>
      <c r="AM12" s="9">
        <f t="shared" si="7"/>
        <v>-5.000000000000001E-3</v>
      </c>
      <c r="AN12" s="5"/>
      <c r="AO12" s="91"/>
      <c r="AP12" s="5"/>
      <c r="AQ12" s="96"/>
      <c r="AR12" s="5"/>
      <c r="AS12" s="30"/>
      <c r="AT12" s="31"/>
      <c r="AU12" s="32"/>
      <c r="BK12" s="5"/>
    </row>
    <row r="13" spans="1:63" thickTop="1" thickBot="1" x14ac:dyDescent="0.3">
      <c r="A13" s="15">
        <v>135</v>
      </c>
      <c r="B13" s="16">
        <v>14</v>
      </c>
      <c r="C13" s="16">
        <v>5</v>
      </c>
      <c r="D13" s="17"/>
      <c r="E13" s="1">
        <v>134</v>
      </c>
      <c r="F13" s="1">
        <v>10</v>
      </c>
      <c r="G13" s="18">
        <f t="shared" si="1"/>
        <v>124</v>
      </c>
      <c r="H13" s="17"/>
      <c r="I13" s="19">
        <v>10</v>
      </c>
      <c r="J13" s="3">
        <f t="shared" ref="J13:J47" si="8">225-5.625*(B13-0.5+(I13-0.5*G13)/G13)</f>
        <v>151.42137096774195</v>
      </c>
      <c r="K13" s="20">
        <f t="shared" si="2"/>
        <v>174</v>
      </c>
      <c r="L13" s="17"/>
      <c r="N13" s="17"/>
      <c r="O13" s="8">
        <v>0.38500000000000001</v>
      </c>
      <c r="P13" s="9">
        <v>0.06</v>
      </c>
      <c r="Q13" s="17"/>
      <c r="R13" s="10">
        <v>250</v>
      </c>
      <c r="S13" s="11">
        <v>50</v>
      </c>
      <c r="T13" s="12">
        <v>800</v>
      </c>
      <c r="U13" s="17"/>
      <c r="V13" s="7">
        <v>677</v>
      </c>
      <c r="W13" s="13">
        <f t="shared" si="0"/>
        <v>14.65506904604891</v>
      </c>
      <c r="Z13" s="13" t="e">
        <f t="shared" si="3"/>
        <v>#DIV/0!</v>
      </c>
      <c r="AB13" s="72">
        <v>10</v>
      </c>
      <c r="AE13" s="8">
        <f>(O13*AB13+O14*AB14+O15*AB15)/100</f>
        <v>0.22270000000000001</v>
      </c>
      <c r="AF13" s="3">
        <f>225-5.625*($B13-0.5)</f>
        <v>149.0625</v>
      </c>
      <c r="AG13">
        <f>K13</f>
        <v>174</v>
      </c>
      <c r="AI13" s="2">
        <v>700</v>
      </c>
      <c r="AJ13" s="7">
        <f t="shared" si="4"/>
        <v>0.17499999999999999</v>
      </c>
      <c r="AK13" s="8">
        <f t="shared" si="5"/>
        <v>0.21000000000000002</v>
      </c>
      <c r="AL13" s="56">
        <f t="shared" si="6"/>
        <v>3.4999999999999996E-2</v>
      </c>
      <c r="AM13" s="9">
        <f t="shared" si="7"/>
        <v>2.5000000000000001E-2</v>
      </c>
      <c r="AO13" s="90">
        <f>($AB13*AK13+$AB14*AK14+$AB15*AK15)/100</f>
        <v>0.10920000000000001</v>
      </c>
      <c r="AQ13" s="95">
        <f>($AB13*AM13+$AB14*AM14+$AB15*AM15)/100</f>
        <v>4.9299999999999997E-2</v>
      </c>
      <c r="AS13" s="10">
        <f>($AB13*R13+$AB14*R14+$AB15*R15)/100</f>
        <v>205</v>
      </c>
      <c r="AT13" s="11">
        <f>($AB13*S13+$AB14*S14+$AB15*S15)/100</f>
        <v>41</v>
      </c>
      <c r="AU13" s="12">
        <f>($AB13*T13+$AB14*T14+$AB15*T15)/100</f>
        <v>755</v>
      </c>
    </row>
    <row r="14" spans="1:63" thickTop="1" thickBot="1" x14ac:dyDescent="0.3">
      <c r="A14" s="15">
        <v>135</v>
      </c>
      <c r="B14" s="93">
        <v>14</v>
      </c>
      <c r="C14" s="93">
        <v>5</v>
      </c>
      <c r="E14" s="1">
        <v>134</v>
      </c>
      <c r="F14" s="1">
        <v>10</v>
      </c>
      <c r="G14" s="3">
        <f t="shared" si="1"/>
        <v>124</v>
      </c>
      <c r="I14" s="2">
        <v>62</v>
      </c>
      <c r="J14" s="3">
        <f t="shared" si="8"/>
        <v>149.0625</v>
      </c>
      <c r="K14" s="6">
        <f t="shared" si="2"/>
        <v>174</v>
      </c>
      <c r="O14" s="8">
        <v>0.21199999999999999</v>
      </c>
      <c r="P14" s="9">
        <v>7.2999999999999995E-2</v>
      </c>
      <c r="R14" s="10">
        <v>200</v>
      </c>
      <c r="S14" s="11">
        <v>40</v>
      </c>
      <c r="T14" s="12">
        <v>800</v>
      </c>
      <c r="V14" s="7">
        <v>362</v>
      </c>
      <c r="W14" s="13">
        <f t="shared" si="0"/>
        <v>15.087223382460579</v>
      </c>
      <c r="Z14" s="13" t="e">
        <f t="shared" si="3"/>
        <v>#DIV/0!</v>
      </c>
      <c r="AB14" s="72">
        <v>75</v>
      </c>
      <c r="AI14" s="2">
        <v>500</v>
      </c>
      <c r="AJ14" s="7">
        <f t="shared" si="4"/>
        <v>9.9999999999999992E-2</v>
      </c>
      <c r="AK14" s="8">
        <f t="shared" si="5"/>
        <v>0.112</v>
      </c>
      <c r="AL14" s="56">
        <f t="shared" si="6"/>
        <v>0.02</v>
      </c>
      <c r="AM14" s="9">
        <f t="shared" si="7"/>
        <v>5.2999999999999992E-2</v>
      </c>
    </row>
    <row r="15" spans="1:63" s="27" customFormat="1" thickTop="1" thickBot="1" x14ac:dyDescent="0.3">
      <c r="A15" s="47">
        <v>135</v>
      </c>
      <c r="B15" s="22">
        <v>14</v>
      </c>
      <c r="C15" s="22">
        <v>5</v>
      </c>
      <c r="D15" s="23"/>
      <c r="E15" s="24">
        <v>134</v>
      </c>
      <c r="F15" s="24">
        <v>10</v>
      </c>
      <c r="G15" s="25">
        <f t="shared" si="1"/>
        <v>124</v>
      </c>
      <c r="H15" s="23"/>
      <c r="I15" s="22">
        <v>114</v>
      </c>
      <c r="J15" s="3">
        <f t="shared" si="8"/>
        <v>146.70362903225805</v>
      </c>
      <c r="K15" s="48">
        <f t="shared" si="2"/>
        <v>174</v>
      </c>
      <c r="L15" s="23"/>
      <c r="N15" s="23"/>
      <c r="O15" s="28">
        <v>0.16800000000000001</v>
      </c>
      <c r="P15" s="29">
        <v>7.4999999999999997E-2</v>
      </c>
      <c r="Q15" s="23"/>
      <c r="R15" s="30">
        <v>200</v>
      </c>
      <c r="S15" s="31">
        <v>40</v>
      </c>
      <c r="T15" s="32">
        <v>500</v>
      </c>
      <c r="U15" s="23"/>
      <c r="V15" s="33">
        <v>357</v>
      </c>
      <c r="W15" s="75">
        <f t="shared" si="0"/>
        <v>15.1000398834504</v>
      </c>
      <c r="X15" s="5"/>
      <c r="Y15" s="56"/>
      <c r="Z15" s="13" t="e">
        <f t="shared" si="3"/>
        <v>#DIV/0!</v>
      </c>
      <c r="AB15" s="27">
        <v>15</v>
      </c>
      <c r="AD15" s="5"/>
      <c r="AE15" s="28"/>
      <c r="AF15" s="3"/>
      <c r="AH15" s="5"/>
      <c r="AI15" s="2">
        <v>700</v>
      </c>
      <c r="AJ15" s="7">
        <f t="shared" si="4"/>
        <v>0.13999999999999999</v>
      </c>
      <c r="AK15" s="8">
        <f t="shared" si="5"/>
        <v>2.8000000000000025E-2</v>
      </c>
      <c r="AL15" s="56">
        <f t="shared" si="6"/>
        <v>2.7999999999999997E-2</v>
      </c>
      <c r="AM15" s="9">
        <f t="shared" si="7"/>
        <v>4.7E-2</v>
      </c>
      <c r="AN15" s="5"/>
      <c r="AO15" s="91"/>
      <c r="AP15" s="5"/>
      <c r="AQ15" s="96"/>
      <c r="AR15" s="5"/>
      <c r="AS15" s="30"/>
      <c r="AT15" s="31"/>
      <c r="AU15" s="32"/>
      <c r="BK15" s="5"/>
    </row>
    <row r="16" spans="1:63" thickTop="1" thickBot="1" x14ac:dyDescent="0.3">
      <c r="A16" s="15">
        <v>136</v>
      </c>
      <c r="B16" s="16">
        <v>14</v>
      </c>
      <c r="C16" s="16">
        <v>6</v>
      </c>
      <c r="D16" s="17"/>
      <c r="E16" s="1">
        <v>135</v>
      </c>
      <c r="F16" s="1">
        <v>10</v>
      </c>
      <c r="G16" s="18">
        <f t="shared" si="1"/>
        <v>125</v>
      </c>
      <c r="H16" s="17"/>
      <c r="I16" s="19">
        <v>10</v>
      </c>
      <c r="J16" s="3">
        <f t="shared" si="8"/>
        <v>151.42500000000001</v>
      </c>
      <c r="K16" s="20">
        <f t="shared" si="2"/>
        <v>186</v>
      </c>
      <c r="L16" s="17"/>
      <c r="N16" s="17"/>
      <c r="O16" s="8">
        <v>0.224</v>
      </c>
      <c r="P16" s="9">
        <v>0.04</v>
      </c>
      <c r="Q16" s="17"/>
      <c r="R16" s="10">
        <v>180</v>
      </c>
      <c r="S16" s="11">
        <v>45</v>
      </c>
      <c r="T16" s="12">
        <v>1600</v>
      </c>
      <c r="U16" s="17"/>
      <c r="V16" s="7">
        <v>644</v>
      </c>
      <c r="W16" s="13">
        <f t="shared" si="0"/>
        <v>14.680870216392455</v>
      </c>
      <c r="Z16" s="13" t="e">
        <f t="shared" si="3"/>
        <v>#DIV/0!</v>
      </c>
      <c r="AB16" s="72">
        <v>10</v>
      </c>
      <c r="AE16" s="8">
        <f>(O16*AB16+O17*AB17+O18*AB18)/100</f>
        <v>0.51239999999999997</v>
      </c>
      <c r="AF16" s="3">
        <f>225-5.625*($B16-0.5)</f>
        <v>149.0625</v>
      </c>
      <c r="AG16">
        <f>K16</f>
        <v>186</v>
      </c>
      <c r="AI16" s="2">
        <v>400</v>
      </c>
      <c r="AJ16" s="7">
        <f t="shared" si="4"/>
        <v>7.1999999999999995E-2</v>
      </c>
      <c r="AK16" s="8">
        <f t="shared" si="5"/>
        <v>0.15200000000000002</v>
      </c>
      <c r="AL16" s="56">
        <f t="shared" si="6"/>
        <v>1.7999999999999999E-2</v>
      </c>
      <c r="AM16" s="9">
        <f t="shared" si="7"/>
        <v>2.2000000000000002E-2</v>
      </c>
      <c r="AO16" s="90">
        <f>($AB16*AK16+$AB17*AK17+$AB18*AK18)/100</f>
        <v>0.38339999999999996</v>
      </c>
      <c r="AQ16" s="95">
        <f>($AB16*AM16+$AB17*AM17+$AB18*AM18)/100</f>
        <v>2.495E-2</v>
      </c>
      <c r="AS16" s="10">
        <f>($AB16*R16+$AB17*R17+$AB18*R18)/100</f>
        <v>216</v>
      </c>
      <c r="AT16" s="11">
        <f>($AB16*S16+$AB17*S17+$AB18*S18)/100</f>
        <v>45</v>
      </c>
      <c r="AU16" s="12">
        <f>($AB16*T16+$AB17*T17+$AB18*T18)/100</f>
        <v>1600</v>
      </c>
    </row>
    <row r="17" spans="1:63" thickTop="1" thickBot="1" x14ac:dyDescent="0.3">
      <c r="A17" s="4">
        <v>136</v>
      </c>
      <c r="B17" s="93">
        <v>14</v>
      </c>
      <c r="C17" s="93">
        <v>6</v>
      </c>
      <c r="E17" s="1">
        <v>135</v>
      </c>
      <c r="F17" s="1">
        <v>10</v>
      </c>
      <c r="G17" s="3">
        <f t="shared" si="1"/>
        <v>125</v>
      </c>
      <c r="I17" s="2">
        <v>62</v>
      </c>
      <c r="J17" s="3">
        <f t="shared" si="8"/>
        <v>149.08499999999998</v>
      </c>
      <c r="K17" s="6">
        <f t="shared" si="2"/>
        <v>186</v>
      </c>
      <c r="O17" s="8">
        <v>0.56699999999999995</v>
      </c>
      <c r="P17" s="9">
        <v>5.3999999999999999E-2</v>
      </c>
      <c r="R17" s="10">
        <v>210</v>
      </c>
      <c r="S17" s="11">
        <v>45</v>
      </c>
      <c r="T17" s="12">
        <v>1600</v>
      </c>
      <c r="V17" s="7">
        <v>1022</v>
      </c>
      <c r="W17" s="13">
        <f t="shared" si="0"/>
        <v>14.483947521726703</v>
      </c>
      <c r="Z17" s="13" t="e">
        <f t="shared" si="3"/>
        <v>#DIV/0!</v>
      </c>
      <c r="AB17" s="72">
        <v>80</v>
      </c>
      <c r="AI17" s="2">
        <v>600</v>
      </c>
      <c r="AJ17" s="7">
        <f t="shared" si="4"/>
        <v>0.126</v>
      </c>
      <c r="AK17" s="8">
        <f t="shared" si="5"/>
        <v>0.44099999999999995</v>
      </c>
      <c r="AL17" s="56">
        <f t="shared" si="6"/>
        <v>2.7E-2</v>
      </c>
      <c r="AM17" s="9">
        <f t="shared" si="7"/>
        <v>2.7E-2</v>
      </c>
    </row>
    <row r="18" spans="1:63" s="27" customFormat="1" thickTop="1" thickBot="1" x14ac:dyDescent="0.3">
      <c r="A18" s="21">
        <v>136</v>
      </c>
      <c r="B18" s="22">
        <v>14</v>
      </c>
      <c r="C18" s="22">
        <v>6</v>
      </c>
      <c r="D18" s="23"/>
      <c r="E18" s="24">
        <v>135</v>
      </c>
      <c r="F18" s="24">
        <v>10</v>
      </c>
      <c r="G18" s="25">
        <f t="shared" si="1"/>
        <v>125</v>
      </c>
      <c r="H18" s="23"/>
      <c r="I18" s="22">
        <v>115</v>
      </c>
      <c r="J18" s="3">
        <f>225-5.625*(B18-0.5+(I18-0.5*G18)/G18)</f>
        <v>146.69999999999999</v>
      </c>
      <c r="K18" s="48">
        <f t="shared" si="2"/>
        <v>186</v>
      </c>
      <c r="L18" s="23"/>
      <c r="N18" s="23"/>
      <c r="O18" s="28">
        <v>0.36399999999999999</v>
      </c>
      <c r="P18" s="29">
        <v>4.2999999999999997E-2</v>
      </c>
      <c r="Q18" s="23"/>
      <c r="R18" s="30">
        <v>300</v>
      </c>
      <c r="S18" s="31">
        <v>45</v>
      </c>
      <c r="T18" s="32">
        <v>1600</v>
      </c>
      <c r="U18" s="23"/>
      <c r="V18" s="33">
        <v>975</v>
      </c>
      <c r="W18" s="75">
        <f t="shared" si="0"/>
        <v>14.500221041639685</v>
      </c>
      <c r="X18" s="5"/>
      <c r="Y18" s="56"/>
      <c r="Z18" s="13" t="e">
        <f t="shared" si="3"/>
        <v>#DIV/0!</v>
      </c>
      <c r="AB18" s="27">
        <v>10</v>
      </c>
      <c r="AD18" s="5"/>
      <c r="AE18" s="28"/>
      <c r="AF18" s="3"/>
      <c r="AH18" s="5"/>
      <c r="AI18" s="2">
        <v>700</v>
      </c>
      <c r="AJ18" s="7">
        <f t="shared" si="4"/>
        <v>0.21</v>
      </c>
      <c r="AK18" s="8">
        <f t="shared" si="5"/>
        <v>0.154</v>
      </c>
      <c r="AL18" s="56">
        <f t="shared" si="6"/>
        <v>3.15E-2</v>
      </c>
      <c r="AM18" s="9">
        <f t="shared" si="7"/>
        <v>1.1499999999999996E-2</v>
      </c>
      <c r="AN18" s="5"/>
      <c r="AO18" s="91"/>
      <c r="AP18" s="5"/>
      <c r="AQ18" s="96"/>
      <c r="AR18" s="5"/>
      <c r="AS18" s="30"/>
      <c r="AT18" s="31"/>
      <c r="AU18" s="32"/>
      <c r="BK18" s="5"/>
    </row>
    <row r="19" spans="1:63" thickTop="1" thickBot="1" x14ac:dyDescent="0.3">
      <c r="A19" s="15">
        <v>145</v>
      </c>
      <c r="B19" s="16">
        <v>15</v>
      </c>
      <c r="C19" s="16">
        <v>5</v>
      </c>
      <c r="D19" s="17"/>
      <c r="E19" s="1">
        <v>135</v>
      </c>
      <c r="F19" s="1">
        <v>13</v>
      </c>
      <c r="G19" s="18">
        <f t="shared" si="1"/>
        <v>122</v>
      </c>
      <c r="H19" s="17"/>
      <c r="I19" s="19">
        <v>10</v>
      </c>
      <c r="J19" s="3">
        <f t="shared" si="8"/>
        <v>145.7889344262295</v>
      </c>
      <c r="K19" s="20">
        <f t="shared" si="2"/>
        <v>174</v>
      </c>
      <c r="L19" s="17"/>
      <c r="N19" s="17"/>
      <c r="O19" s="8">
        <v>4.9000000000000002E-2</v>
      </c>
      <c r="P19" s="9">
        <v>5.0999999999999997E-2</v>
      </c>
      <c r="Q19" s="17"/>
      <c r="R19" s="10">
        <v>70</v>
      </c>
      <c r="S19" s="11">
        <v>30</v>
      </c>
      <c r="T19" s="12">
        <v>900</v>
      </c>
      <c r="U19" s="17"/>
      <c r="V19" s="7">
        <v>0</v>
      </c>
      <c r="W19" s="13" t="e">
        <f t="shared" si="0"/>
        <v>#DIV/0!</v>
      </c>
      <c r="Z19" s="13" t="e">
        <f t="shared" si="3"/>
        <v>#DIV/0!</v>
      </c>
      <c r="AB19" s="72">
        <v>20</v>
      </c>
      <c r="AC19" t="s">
        <v>22</v>
      </c>
      <c r="AE19" s="8">
        <f>(O19*AB19+O20*AB20+O21*AB21+O22*AB22+O23*AB23)/100</f>
        <v>0.31180000000000002</v>
      </c>
      <c r="AF19" s="3">
        <f>225-5.625*($B19-0.5)</f>
        <v>143.4375</v>
      </c>
      <c r="AG19">
        <f>K19</f>
        <v>174</v>
      </c>
      <c r="AI19" s="2">
        <v>700</v>
      </c>
      <c r="AJ19" s="7">
        <f t="shared" si="4"/>
        <v>4.8999999999999995E-2</v>
      </c>
      <c r="AK19" s="8">
        <f t="shared" si="5"/>
        <v>0</v>
      </c>
      <c r="AL19" s="56">
        <f t="shared" si="6"/>
        <v>2.0999999999999998E-2</v>
      </c>
      <c r="AM19" s="9">
        <f t="shared" si="7"/>
        <v>0.03</v>
      </c>
      <c r="AO19" s="90">
        <f>($AB19*AK19+$AB20*AK20+$AB21*AK21+$AB22*AK22+$AB23*AK23)/100</f>
        <v>0.26600000000000001</v>
      </c>
      <c r="AQ19" s="95">
        <f>($AB19*AM19+$AB20*AM20+$AB21*AM21+$AB22*AM22+$AB23*AM23)/100</f>
        <v>-3.5399999999999994E-2</v>
      </c>
      <c r="AS19" s="10">
        <f>($AB19*R19+$AB20*R20+$AB21*R21+$AB22*R22+$AB23*R23)/100</f>
        <v>46</v>
      </c>
      <c r="AT19" s="11">
        <f>($AB19*S19+$AB20*S20+$AB21*S21+$AB22*S22+$AB23*S23)/100</f>
        <v>88.6</v>
      </c>
      <c r="AU19" s="12">
        <f>($AB19*T19+$AB20*T20+$AB21*T21+$AB22*T22+$AB23*T23)/100</f>
        <v>1800</v>
      </c>
    </row>
    <row r="20" spans="1:63" thickTop="1" thickBot="1" x14ac:dyDescent="0.3">
      <c r="A20" s="4">
        <v>145</v>
      </c>
      <c r="B20" s="93">
        <v>15</v>
      </c>
      <c r="C20" s="93">
        <v>5</v>
      </c>
      <c r="E20" s="1">
        <v>135</v>
      </c>
      <c r="F20" s="1">
        <v>13</v>
      </c>
      <c r="G20" s="3">
        <f t="shared" si="1"/>
        <v>122</v>
      </c>
      <c r="I20" s="2">
        <v>35</v>
      </c>
      <c r="J20" s="3">
        <f t="shared" si="8"/>
        <v>144.63627049180326</v>
      </c>
      <c r="K20" s="6">
        <f t="shared" si="2"/>
        <v>174</v>
      </c>
      <c r="O20" s="8">
        <v>0.35</v>
      </c>
      <c r="P20" s="9">
        <v>6.5000000000000002E-2</v>
      </c>
      <c r="R20" s="10">
        <v>80</v>
      </c>
      <c r="S20" s="11">
        <v>95</v>
      </c>
      <c r="T20" s="12">
        <v>2000</v>
      </c>
      <c r="V20" s="7">
        <v>332</v>
      </c>
      <c r="W20" s="13">
        <f t="shared" si="0"/>
        <v>15.169722539575694</v>
      </c>
      <c r="Z20" s="13" t="e">
        <f t="shared" si="3"/>
        <v>#DIV/0!</v>
      </c>
      <c r="AB20" s="72">
        <v>20</v>
      </c>
      <c r="AC20" t="s">
        <v>22</v>
      </c>
      <c r="AI20" s="2">
        <v>1000</v>
      </c>
      <c r="AJ20" s="7">
        <f t="shared" si="4"/>
        <v>0.08</v>
      </c>
      <c r="AK20" s="8">
        <f t="shared" si="5"/>
        <v>0.26999999999999996</v>
      </c>
      <c r="AL20" s="56">
        <f t="shared" si="6"/>
        <v>9.5000000000000001E-2</v>
      </c>
      <c r="AM20" s="9">
        <f t="shared" si="7"/>
        <v>-0.03</v>
      </c>
    </row>
    <row r="21" spans="1:63" thickTop="1" thickBot="1" x14ac:dyDescent="0.3">
      <c r="A21" s="4">
        <v>145</v>
      </c>
      <c r="B21" s="93">
        <v>15</v>
      </c>
      <c r="C21" s="93">
        <v>5</v>
      </c>
      <c r="E21" s="1">
        <v>135</v>
      </c>
      <c r="F21" s="1">
        <v>13</v>
      </c>
      <c r="G21" s="3">
        <f t="shared" si="1"/>
        <v>122</v>
      </c>
      <c r="I21" s="2">
        <v>61</v>
      </c>
      <c r="J21" s="3">
        <f t="shared" si="8"/>
        <v>143.4375</v>
      </c>
      <c r="K21" s="6">
        <f t="shared" si="2"/>
        <v>174</v>
      </c>
      <c r="O21" s="8">
        <v>0.32500000000000001</v>
      </c>
      <c r="P21" s="9">
        <v>6.5000000000000002E-2</v>
      </c>
      <c r="R21" s="10">
        <v>30</v>
      </c>
      <c r="S21" s="11">
        <v>108</v>
      </c>
      <c r="T21" s="12">
        <v>2000</v>
      </c>
      <c r="V21" s="7">
        <v>308</v>
      </c>
      <c r="W21" s="13">
        <f t="shared" si="0"/>
        <v>15.24688599247507</v>
      </c>
      <c r="Z21" s="13" t="e">
        <f t="shared" si="3"/>
        <v>#DIV/0!</v>
      </c>
      <c r="AB21" s="72">
        <v>20</v>
      </c>
      <c r="AC21" t="s">
        <v>22</v>
      </c>
      <c r="AI21" s="2">
        <v>1000</v>
      </c>
      <c r="AJ21" s="7">
        <f t="shared" si="4"/>
        <v>0.03</v>
      </c>
      <c r="AK21" s="8">
        <f t="shared" si="5"/>
        <v>0.29500000000000004</v>
      </c>
      <c r="AL21" s="56">
        <f t="shared" si="6"/>
        <v>0.108</v>
      </c>
      <c r="AM21" s="9">
        <f t="shared" si="7"/>
        <v>-4.2999999999999997E-2</v>
      </c>
    </row>
    <row r="22" spans="1:63" thickTop="1" thickBot="1" x14ac:dyDescent="0.3">
      <c r="A22" s="4">
        <v>145</v>
      </c>
      <c r="B22" s="2">
        <v>15</v>
      </c>
      <c r="C22" s="2">
        <v>5</v>
      </c>
      <c r="E22" s="1">
        <v>135</v>
      </c>
      <c r="F22" s="1">
        <v>13</v>
      </c>
      <c r="G22" s="3">
        <f t="shared" si="1"/>
        <v>122</v>
      </c>
      <c r="I22" s="2">
        <v>87</v>
      </c>
      <c r="J22" s="3">
        <f t="shared" si="8"/>
        <v>142.23872950819674</v>
      </c>
      <c r="K22" s="6">
        <f t="shared" si="2"/>
        <v>174</v>
      </c>
      <c r="O22" s="8">
        <v>0.36599999999999999</v>
      </c>
      <c r="P22" s="9">
        <v>7.5999999999999998E-2</v>
      </c>
      <c r="R22" s="10">
        <v>0</v>
      </c>
      <c r="S22" s="11">
        <v>110</v>
      </c>
      <c r="T22" s="12">
        <v>2100</v>
      </c>
      <c r="V22" s="7">
        <v>428</v>
      </c>
      <c r="W22" s="13">
        <f t="shared" si="0"/>
        <v>14.945383433733255</v>
      </c>
      <c r="Z22" s="13" t="e">
        <f t="shared" si="3"/>
        <v>#DIV/0!</v>
      </c>
      <c r="AB22" s="72">
        <v>20</v>
      </c>
      <c r="AC22" t="s">
        <v>22</v>
      </c>
      <c r="AI22" s="2">
        <v>1200</v>
      </c>
      <c r="AJ22" s="7">
        <f t="shared" si="4"/>
        <v>0</v>
      </c>
      <c r="AK22" s="8">
        <f t="shared" si="5"/>
        <v>0.36599999999999999</v>
      </c>
      <c r="AL22" s="56">
        <f t="shared" si="6"/>
        <v>0.13200000000000001</v>
      </c>
      <c r="AM22" s="9">
        <f t="shared" si="7"/>
        <v>-5.6000000000000008E-2</v>
      </c>
    </row>
    <row r="23" spans="1:63" s="27" customFormat="1" thickTop="1" thickBot="1" x14ac:dyDescent="0.3">
      <c r="A23" s="21">
        <v>145</v>
      </c>
      <c r="B23" s="22">
        <v>15</v>
      </c>
      <c r="C23" s="22">
        <v>5</v>
      </c>
      <c r="D23" s="23"/>
      <c r="E23" s="49">
        <v>135</v>
      </c>
      <c r="F23" s="50">
        <v>13</v>
      </c>
      <c r="G23" s="25">
        <f t="shared" si="1"/>
        <v>122</v>
      </c>
      <c r="H23" s="23"/>
      <c r="I23" s="22">
        <v>111</v>
      </c>
      <c r="J23" s="3">
        <f t="shared" si="8"/>
        <v>141.13217213114754</v>
      </c>
      <c r="K23" s="48">
        <f t="shared" si="2"/>
        <v>174</v>
      </c>
      <c r="L23" s="23"/>
      <c r="N23" s="23"/>
      <c r="O23" s="28">
        <v>0.46899999999999997</v>
      </c>
      <c r="P23" s="29">
        <v>6.2E-2</v>
      </c>
      <c r="Q23" s="23"/>
      <c r="R23" s="30">
        <v>50</v>
      </c>
      <c r="S23" s="31">
        <v>100</v>
      </c>
      <c r="T23" s="32">
        <v>2000</v>
      </c>
      <c r="U23" s="23"/>
      <c r="V23" s="33">
        <v>480</v>
      </c>
      <c r="W23" s="75">
        <f t="shared" si="0"/>
        <v>14.860462083439174</v>
      </c>
      <c r="X23" s="5"/>
      <c r="Y23" s="56"/>
      <c r="Z23" s="13" t="e">
        <f t="shared" si="3"/>
        <v>#DIV/0!</v>
      </c>
      <c r="AB23" s="27">
        <v>20</v>
      </c>
      <c r="AC23" s="27" t="s">
        <v>22</v>
      </c>
      <c r="AD23" s="5"/>
      <c r="AE23" s="28"/>
      <c r="AF23" s="3"/>
      <c r="AH23" s="5"/>
      <c r="AI23" s="2">
        <v>1400</v>
      </c>
      <c r="AJ23" s="7">
        <f t="shared" si="4"/>
        <v>6.9999999999999993E-2</v>
      </c>
      <c r="AK23" s="8">
        <f t="shared" si="5"/>
        <v>0.39899999999999997</v>
      </c>
      <c r="AL23" s="56">
        <f t="shared" si="6"/>
        <v>0.13999999999999999</v>
      </c>
      <c r="AM23" s="9">
        <f t="shared" si="7"/>
        <v>-7.7999999999999986E-2</v>
      </c>
      <c r="AN23" s="5"/>
      <c r="AO23" s="91"/>
      <c r="AP23" s="5"/>
      <c r="AQ23" s="96"/>
      <c r="AR23" s="5"/>
      <c r="AS23" s="30"/>
      <c r="AT23" s="31"/>
      <c r="AU23" s="32"/>
      <c r="BK23" s="5"/>
    </row>
    <row r="24" spans="1:63" thickTop="1" thickBot="1" x14ac:dyDescent="0.3">
      <c r="A24" s="15">
        <v>156</v>
      </c>
      <c r="B24" s="16">
        <v>18</v>
      </c>
      <c r="C24" s="16">
        <v>6</v>
      </c>
      <c r="D24" s="17"/>
      <c r="E24" s="1">
        <v>131</v>
      </c>
      <c r="F24" s="1">
        <v>11</v>
      </c>
      <c r="G24" s="18">
        <f t="shared" si="1"/>
        <v>120</v>
      </c>
      <c r="H24" s="17"/>
      <c r="I24" s="16">
        <v>10</v>
      </c>
      <c r="J24" s="3">
        <f>225-5.625*(B24-0.5-(I24-0.5*G24)/G24)</f>
        <v>124.21875</v>
      </c>
      <c r="K24" s="20">
        <f t="shared" si="2"/>
        <v>186</v>
      </c>
      <c r="L24" s="17"/>
      <c r="N24" s="17"/>
      <c r="O24" s="8">
        <v>0.216</v>
      </c>
      <c r="P24" s="9">
        <v>5.1999999999999998E-2</v>
      </c>
      <c r="Q24" s="17"/>
      <c r="R24" s="10">
        <v>198</v>
      </c>
      <c r="S24" s="11">
        <v>50</v>
      </c>
      <c r="T24" s="12">
        <v>1680</v>
      </c>
      <c r="U24" s="17"/>
      <c r="V24" s="7">
        <v>391</v>
      </c>
      <c r="W24" s="13">
        <f t="shared" si="0"/>
        <v>15.019169336895184</v>
      </c>
      <c r="Z24" s="13" t="e">
        <f t="shared" si="3"/>
        <v>#DIV/0!</v>
      </c>
      <c r="AB24" s="72">
        <v>10</v>
      </c>
      <c r="AE24" s="8">
        <f>(O24*AB24+O25*AB25+O26*AB26)/100</f>
        <v>0.23085</v>
      </c>
      <c r="AF24" s="3">
        <f>225-5.625*($B24-0.5)</f>
        <v>126.5625</v>
      </c>
      <c r="AG24">
        <f>K24</f>
        <v>186</v>
      </c>
      <c r="AI24" s="2">
        <v>800</v>
      </c>
      <c r="AJ24" s="7">
        <f t="shared" si="4"/>
        <v>0.15839999999999999</v>
      </c>
      <c r="AK24" s="8">
        <f t="shared" si="5"/>
        <v>5.7600000000000012E-2</v>
      </c>
      <c r="AL24" s="56">
        <f t="shared" si="6"/>
        <v>0.04</v>
      </c>
      <c r="AM24" s="9">
        <f t="shared" si="7"/>
        <v>1.1999999999999997E-2</v>
      </c>
      <c r="AO24" s="90">
        <f>($AB24*AK24+$AB25*AK25+$AB26*AK26)/100</f>
        <v>7.1010000000000004E-2</v>
      </c>
      <c r="AQ24" s="95">
        <f>($AB24*AM24+$AB25*AM25+$AB26*AM26)/100</f>
        <v>2.9760000000000012E-2</v>
      </c>
      <c r="AS24" s="10">
        <f>($AB24*R24+$AB25*R25+$AB26*R26)/100</f>
        <v>199.8</v>
      </c>
      <c r="AT24" s="11">
        <f>($AB24*S24+$AB25*S25+$AB26*S26)/100</f>
        <v>44.3</v>
      </c>
      <c r="AU24" s="12">
        <f>($AB24*T24+$AB25*T25+$AB26*T26)/100</f>
        <v>1593</v>
      </c>
    </row>
    <row r="25" spans="1:63" thickTop="1" thickBot="1" x14ac:dyDescent="0.3">
      <c r="A25" s="4">
        <v>156</v>
      </c>
      <c r="B25" s="2">
        <v>18</v>
      </c>
      <c r="C25" s="2">
        <v>6</v>
      </c>
      <c r="E25" s="1">
        <v>131</v>
      </c>
      <c r="F25" s="1">
        <v>11</v>
      </c>
      <c r="G25" s="3">
        <f t="shared" si="1"/>
        <v>120</v>
      </c>
      <c r="I25" s="2">
        <v>60</v>
      </c>
      <c r="J25" s="3">
        <f>225-5.625*(B25-0.5-(I25-0.5*G25)/G25)</f>
        <v>126.5625</v>
      </c>
      <c r="K25" s="6">
        <f t="shared" si="2"/>
        <v>186</v>
      </c>
      <c r="O25" s="8">
        <v>0.215</v>
      </c>
      <c r="P25" s="9">
        <v>7.0000000000000007E-2</v>
      </c>
      <c r="R25" s="10">
        <v>203</v>
      </c>
      <c r="S25" s="11">
        <v>41</v>
      </c>
      <c r="T25" s="12">
        <v>1660</v>
      </c>
      <c r="V25" s="7">
        <v>336</v>
      </c>
      <c r="W25" s="13">
        <f t="shared" si="0"/>
        <v>15.157899087997148</v>
      </c>
      <c r="Z25" s="13" t="e">
        <f t="shared" si="3"/>
        <v>#DIV/0!</v>
      </c>
      <c r="AB25" s="72">
        <v>75</v>
      </c>
      <c r="AI25" s="2">
        <v>800</v>
      </c>
      <c r="AJ25" s="7">
        <f t="shared" si="4"/>
        <v>0.16239999999999999</v>
      </c>
      <c r="AK25" s="8">
        <f t="shared" si="5"/>
        <v>5.2600000000000008E-2</v>
      </c>
      <c r="AL25" s="56">
        <f t="shared" si="6"/>
        <v>3.2799999999999996E-2</v>
      </c>
      <c r="AM25" s="9">
        <f t="shared" si="7"/>
        <v>3.7200000000000011E-2</v>
      </c>
    </row>
    <row r="26" spans="1:63" s="40" customFormat="1" thickTop="1" thickBot="1" x14ac:dyDescent="0.3">
      <c r="A26" s="35">
        <v>156</v>
      </c>
      <c r="B26" s="36">
        <v>18</v>
      </c>
      <c r="C26" s="36">
        <v>6</v>
      </c>
      <c r="D26" s="37"/>
      <c r="E26" s="38">
        <v>131</v>
      </c>
      <c r="F26" s="38">
        <v>11</v>
      </c>
      <c r="G26" s="39">
        <f t="shared" si="1"/>
        <v>120</v>
      </c>
      <c r="H26" s="37"/>
      <c r="I26" s="86">
        <v>110</v>
      </c>
      <c r="J26" s="3">
        <f>225-5.625*(B26-0.5-(I26-0.5*G26)/G26)</f>
        <v>128.90625</v>
      </c>
      <c r="K26" s="48">
        <f t="shared" si="2"/>
        <v>186</v>
      </c>
      <c r="L26" s="37"/>
      <c r="N26" s="37"/>
      <c r="O26" s="41">
        <v>0.32</v>
      </c>
      <c r="P26" s="42">
        <v>0.05</v>
      </c>
      <c r="Q26" s="37"/>
      <c r="R26" s="43">
        <v>185</v>
      </c>
      <c r="S26" s="44">
        <v>57</v>
      </c>
      <c r="T26" s="45">
        <v>1200</v>
      </c>
      <c r="U26" s="37"/>
      <c r="V26" s="46">
        <v>459</v>
      </c>
      <c r="W26" s="75">
        <f t="shared" si="0"/>
        <v>14.892497855454865</v>
      </c>
      <c r="X26" s="5"/>
      <c r="Y26" s="56"/>
      <c r="Z26" s="13" t="e">
        <f t="shared" si="3"/>
        <v>#DIV/0!</v>
      </c>
      <c r="AB26" s="40">
        <v>15</v>
      </c>
      <c r="AD26" s="5"/>
      <c r="AE26" s="28"/>
      <c r="AF26" s="3"/>
      <c r="AH26" s="5"/>
      <c r="AI26" s="83">
        <v>800</v>
      </c>
      <c r="AJ26" s="7">
        <f t="shared" si="4"/>
        <v>0.14799999999999999</v>
      </c>
      <c r="AK26" s="8">
        <f t="shared" si="5"/>
        <v>0.17200000000000001</v>
      </c>
      <c r="AL26" s="56">
        <f t="shared" si="6"/>
        <v>4.5599999999999995E-2</v>
      </c>
      <c r="AM26" s="9">
        <f t="shared" si="7"/>
        <v>4.4000000000000081E-3</v>
      </c>
      <c r="AN26" s="5"/>
      <c r="AO26" s="91"/>
      <c r="AP26" s="5"/>
      <c r="AQ26" s="96"/>
      <c r="AR26" s="5"/>
      <c r="AS26" s="30"/>
      <c r="AT26" s="31"/>
      <c r="AU26" s="32"/>
      <c r="BK26" s="5"/>
    </row>
    <row r="27" spans="1:63" thickTop="1" thickBot="1" x14ac:dyDescent="0.3">
      <c r="A27" s="15">
        <v>165</v>
      </c>
      <c r="B27" s="16">
        <v>19</v>
      </c>
      <c r="C27" s="16">
        <v>5</v>
      </c>
      <c r="D27" s="17"/>
      <c r="E27" s="1">
        <v>134</v>
      </c>
      <c r="F27" s="1">
        <v>9</v>
      </c>
      <c r="G27" s="18">
        <f t="shared" si="1"/>
        <v>125</v>
      </c>
      <c r="H27" s="17"/>
      <c r="I27" s="19">
        <v>10</v>
      </c>
      <c r="J27" s="3">
        <f t="shared" si="8"/>
        <v>123.30000000000001</v>
      </c>
      <c r="K27" s="20">
        <f t="shared" si="2"/>
        <v>174</v>
      </c>
      <c r="L27" s="17"/>
      <c r="N27" s="17"/>
      <c r="O27" s="8">
        <v>0.23799999999999999</v>
      </c>
      <c r="P27" s="9">
        <v>0.04</v>
      </c>
      <c r="Q27" s="17"/>
      <c r="R27" s="10">
        <v>151</v>
      </c>
      <c r="S27" s="11">
        <v>118</v>
      </c>
      <c r="T27" s="12">
        <v>1200</v>
      </c>
      <c r="U27" s="17"/>
      <c r="V27" s="7">
        <v>398</v>
      </c>
      <c r="W27" s="13">
        <f t="shared" si="0"/>
        <v>15.004187020318813</v>
      </c>
      <c r="Z27" s="13" t="e">
        <f t="shared" si="3"/>
        <v>#DIV/0!</v>
      </c>
      <c r="AB27">
        <f t="shared" ref="AB27:AB32" si="9">100/6</f>
        <v>16.666666666666668</v>
      </c>
      <c r="AE27" s="8">
        <f>(O27*AB27+O28*AB28+O29*AB29+O30*AB30+O31*AB31+O32*AB32)/100</f>
        <v>0.3688333333333334</v>
      </c>
      <c r="AF27" s="3">
        <f>225-5.625*($B27-0.5)</f>
        <v>120.9375</v>
      </c>
      <c r="AG27">
        <f>K27</f>
        <v>174</v>
      </c>
      <c r="AI27" s="2">
        <v>600</v>
      </c>
      <c r="AJ27" s="7">
        <f t="shared" si="4"/>
        <v>9.06E-2</v>
      </c>
      <c r="AK27" s="8">
        <f t="shared" si="5"/>
        <v>0.14739999999999998</v>
      </c>
      <c r="AL27" s="56">
        <f t="shared" si="6"/>
        <v>7.0800000000000002E-2</v>
      </c>
      <c r="AM27" s="9">
        <f t="shared" si="7"/>
        <v>-3.0800000000000001E-2</v>
      </c>
      <c r="AO27" s="90">
        <f>($AB27*AK27+$AB28*AK28+$AB29*AK29+$AB30*AK30+$AB31*AK31+$AB32*AK32)/100</f>
        <v>0.17953333333333338</v>
      </c>
      <c r="AQ27" s="95">
        <f>($AB27*AM27+$AB28*AM28+$AB29*AM29+$AB30*AM30+$AB31*AM31+$AB32*AM32)/100</f>
        <v>2.908333333333334E-2</v>
      </c>
      <c r="AS27" s="10">
        <f>($AB27*R27+$AB28*R28+$AB29*R29+$AB30*R30+$AB31*R31+$AB32*R32)/100</f>
        <v>258.16666666666669</v>
      </c>
      <c r="AT27" s="11">
        <f>($AB27*S27+$AB28*S28+$AB29*S29+$AB30*S30+$AB31*S31+$AB32*S32)/100</f>
        <v>75.833333333333343</v>
      </c>
      <c r="AU27" s="12">
        <f>($AB27*T27+$AB28*T28+$AB29*T29+$AB30*T30+$AB31*T31+$AB32*T32)/100</f>
        <v>1763.3333333333335</v>
      </c>
    </row>
    <row r="28" spans="1:63" thickTop="1" thickBot="1" x14ac:dyDescent="0.3">
      <c r="A28" s="4">
        <v>165</v>
      </c>
      <c r="B28" s="93">
        <v>19</v>
      </c>
      <c r="C28" s="93">
        <v>5</v>
      </c>
      <c r="E28" s="1">
        <v>134</v>
      </c>
      <c r="F28" s="1">
        <v>9</v>
      </c>
      <c r="G28" s="3">
        <f t="shared" si="1"/>
        <v>125</v>
      </c>
      <c r="I28" s="2">
        <v>30</v>
      </c>
      <c r="J28" s="3">
        <f t="shared" si="8"/>
        <v>122.4</v>
      </c>
      <c r="K28" s="6">
        <f t="shared" si="2"/>
        <v>174</v>
      </c>
      <c r="O28" s="8">
        <v>0.54900000000000004</v>
      </c>
      <c r="P28" s="9">
        <v>0.1</v>
      </c>
      <c r="R28" s="10">
        <v>370</v>
      </c>
      <c r="S28" s="11">
        <v>85</v>
      </c>
      <c r="T28" s="12">
        <v>3600</v>
      </c>
      <c r="V28" s="7">
        <v>881</v>
      </c>
      <c r="W28" s="13">
        <f t="shared" si="0"/>
        <v>14.537906926306722</v>
      </c>
      <c r="Z28" s="13" t="e">
        <f t="shared" si="3"/>
        <v>#DIV/0!</v>
      </c>
      <c r="AB28">
        <f t="shared" si="9"/>
        <v>16.666666666666668</v>
      </c>
      <c r="AI28" s="2">
        <v>900</v>
      </c>
      <c r="AJ28" s="7">
        <f t="shared" si="4"/>
        <v>0.33299999999999996</v>
      </c>
      <c r="AK28" s="8">
        <f t="shared" si="5"/>
        <v>0.21600000000000008</v>
      </c>
      <c r="AL28" s="56">
        <f t="shared" si="6"/>
        <v>7.6499999999999999E-2</v>
      </c>
      <c r="AM28" s="9">
        <f t="shared" si="7"/>
        <v>2.3500000000000007E-2</v>
      </c>
    </row>
    <row r="29" spans="1:63" thickTop="1" thickBot="1" x14ac:dyDescent="0.3">
      <c r="A29" s="4">
        <v>165</v>
      </c>
      <c r="B29" s="93">
        <v>19</v>
      </c>
      <c r="C29" s="93">
        <v>5</v>
      </c>
      <c r="E29" s="1">
        <v>134</v>
      </c>
      <c r="F29" s="1">
        <v>9</v>
      </c>
      <c r="G29" s="3">
        <f t="shared" si="1"/>
        <v>125</v>
      </c>
      <c r="I29" s="2">
        <v>50</v>
      </c>
      <c r="J29" s="3">
        <f t="shared" si="8"/>
        <v>121.50000000000001</v>
      </c>
      <c r="K29" s="6">
        <f t="shared" si="2"/>
        <v>174</v>
      </c>
      <c r="O29" s="8">
        <v>0.496</v>
      </c>
      <c r="P29" s="9">
        <v>9.4E-2</v>
      </c>
      <c r="R29" s="10">
        <v>267</v>
      </c>
      <c r="S29" s="11">
        <v>60</v>
      </c>
      <c r="T29" s="12">
        <v>1300</v>
      </c>
      <c r="V29" s="7">
        <v>761</v>
      </c>
      <c r="W29" s="13">
        <f t="shared" si="0"/>
        <v>14.599335754335044</v>
      </c>
      <c r="Z29" s="13" t="e">
        <f t="shared" si="3"/>
        <v>#DIV/0!</v>
      </c>
      <c r="AB29">
        <f t="shared" si="9"/>
        <v>16.666666666666668</v>
      </c>
      <c r="AI29" s="2">
        <v>800</v>
      </c>
      <c r="AJ29" s="7">
        <f t="shared" si="4"/>
        <v>0.21359999999999998</v>
      </c>
      <c r="AK29" s="8">
        <f t="shared" si="5"/>
        <v>0.28239999999999998</v>
      </c>
      <c r="AL29" s="56">
        <f t="shared" si="6"/>
        <v>4.8000000000000001E-2</v>
      </c>
      <c r="AM29" s="9">
        <f t="shared" si="7"/>
        <v>4.5999999999999999E-2</v>
      </c>
    </row>
    <row r="30" spans="1:63" thickTop="1" thickBot="1" x14ac:dyDescent="0.3">
      <c r="A30" s="4">
        <v>165</v>
      </c>
      <c r="B30" s="93">
        <v>19</v>
      </c>
      <c r="C30" s="93">
        <v>5</v>
      </c>
      <c r="E30" s="1">
        <v>134</v>
      </c>
      <c r="F30" s="1">
        <v>9</v>
      </c>
      <c r="G30" s="3">
        <f t="shared" si="1"/>
        <v>125</v>
      </c>
      <c r="I30" s="2">
        <v>70</v>
      </c>
      <c r="J30" s="3">
        <f t="shared" si="8"/>
        <v>120.60000000000001</v>
      </c>
      <c r="K30" s="6">
        <f t="shared" si="2"/>
        <v>174</v>
      </c>
      <c r="O30" s="8">
        <v>0.34200000000000003</v>
      </c>
      <c r="P30" s="9">
        <v>9.5000000000000001E-2</v>
      </c>
      <c r="R30" s="10">
        <v>320</v>
      </c>
      <c r="S30" s="11">
        <v>57</v>
      </c>
      <c r="T30" s="12">
        <v>1560</v>
      </c>
      <c r="V30" s="7">
        <v>444</v>
      </c>
      <c r="W30" s="13">
        <f t="shared" si="0"/>
        <v>14.917188827742397</v>
      </c>
      <c r="Z30" s="13" t="e">
        <f t="shared" si="3"/>
        <v>#DIV/0!</v>
      </c>
      <c r="AB30">
        <f t="shared" si="9"/>
        <v>16.666666666666668</v>
      </c>
      <c r="AI30" s="2">
        <v>600</v>
      </c>
      <c r="AJ30" s="7">
        <f t="shared" si="4"/>
        <v>0.192</v>
      </c>
      <c r="AK30" s="8">
        <f t="shared" si="5"/>
        <v>0.15000000000000002</v>
      </c>
      <c r="AL30" s="56">
        <f t="shared" si="6"/>
        <v>3.4200000000000001E-2</v>
      </c>
      <c r="AM30" s="9">
        <f t="shared" si="7"/>
        <v>6.08E-2</v>
      </c>
    </row>
    <row r="31" spans="1:63" thickTop="1" thickBot="1" x14ac:dyDescent="0.3">
      <c r="A31" s="4">
        <v>165</v>
      </c>
      <c r="B31" s="93">
        <v>19</v>
      </c>
      <c r="C31" s="93">
        <v>5</v>
      </c>
      <c r="E31" s="1">
        <v>134</v>
      </c>
      <c r="F31" s="1">
        <v>9</v>
      </c>
      <c r="G31" s="3">
        <f t="shared" si="1"/>
        <v>125</v>
      </c>
      <c r="I31" s="2">
        <v>90</v>
      </c>
      <c r="J31" s="3">
        <f t="shared" si="8"/>
        <v>119.7</v>
      </c>
      <c r="K31" s="6">
        <f t="shared" si="2"/>
        <v>174</v>
      </c>
      <c r="O31" s="8">
        <v>0.33</v>
      </c>
      <c r="P31" s="9">
        <v>6.7000000000000004E-2</v>
      </c>
      <c r="R31" s="10">
        <v>231</v>
      </c>
      <c r="S31" s="11">
        <v>80</v>
      </c>
      <c r="T31" s="12">
        <v>1520</v>
      </c>
      <c r="V31" s="7">
        <v>512</v>
      </c>
      <c r="W31" s="13">
        <f t="shared" si="0"/>
        <v>14.816586988912123</v>
      </c>
      <c r="Z31" s="13" t="e">
        <f t="shared" si="3"/>
        <v>#DIV/0!</v>
      </c>
      <c r="AB31">
        <f t="shared" si="9"/>
        <v>16.666666666666668</v>
      </c>
      <c r="AI31" s="2">
        <v>600</v>
      </c>
      <c r="AJ31" s="7">
        <f t="shared" si="4"/>
        <v>0.1386</v>
      </c>
      <c r="AK31" s="8">
        <f t="shared" si="5"/>
        <v>0.19140000000000001</v>
      </c>
      <c r="AL31" s="56">
        <f t="shared" si="6"/>
        <v>4.8000000000000001E-2</v>
      </c>
      <c r="AM31" s="9">
        <f t="shared" si="7"/>
        <v>1.9000000000000003E-2</v>
      </c>
    </row>
    <row r="32" spans="1:63" s="27" customFormat="1" thickTop="1" thickBot="1" x14ac:dyDescent="0.3">
      <c r="A32" s="21">
        <v>165</v>
      </c>
      <c r="B32" s="22">
        <v>19</v>
      </c>
      <c r="C32" s="22">
        <v>5</v>
      </c>
      <c r="D32" s="23"/>
      <c r="E32" s="24">
        <v>134</v>
      </c>
      <c r="F32" s="24">
        <v>9</v>
      </c>
      <c r="G32" s="25">
        <f t="shared" si="1"/>
        <v>125</v>
      </c>
      <c r="H32" s="23"/>
      <c r="I32" s="22">
        <v>110</v>
      </c>
      <c r="J32" s="3">
        <f t="shared" si="8"/>
        <v>118.80000000000001</v>
      </c>
      <c r="K32" s="26">
        <f t="shared" si="2"/>
        <v>174</v>
      </c>
      <c r="L32" s="23"/>
      <c r="N32" s="23"/>
      <c r="O32" s="28">
        <v>0.25800000000000001</v>
      </c>
      <c r="P32" s="29">
        <v>0.1</v>
      </c>
      <c r="Q32" s="23"/>
      <c r="R32" s="30">
        <v>210</v>
      </c>
      <c r="S32" s="31">
        <v>55</v>
      </c>
      <c r="T32" s="32">
        <v>1400</v>
      </c>
      <c r="U32" s="23"/>
      <c r="V32" s="33">
        <v>359</v>
      </c>
      <c r="W32" s="75">
        <f t="shared" si="0"/>
        <v>15.094871751801758</v>
      </c>
      <c r="X32" s="5"/>
      <c r="Y32" s="56"/>
      <c r="Z32" s="13" t="e">
        <f t="shared" si="3"/>
        <v>#DIV/0!</v>
      </c>
      <c r="AB32" s="27">
        <f t="shared" si="9"/>
        <v>16.666666666666668</v>
      </c>
      <c r="AD32" s="5"/>
      <c r="AE32" s="28"/>
      <c r="AF32" s="3"/>
      <c r="AH32" s="5"/>
      <c r="AI32" s="2">
        <v>800</v>
      </c>
      <c r="AJ32" s="7">
        <f t="shared" si="4"/>
        <v>0.16799999999999998</v>
      </c>
      <c r="AK32" s="8">
        <f t="shared" si="5"/>
        <v>9.0000000000000024E-2</v>
      </c>
      <c r="AL32" s="56">
        <f t="shared" si="6"/>
        <v>4.3999999999999997E-2</v>
      </c>
      <c r="AM32" s="9">
        <f t="shared" si="7"/>
        <v>5.6000000000000008E-2</v>
      </c>
      <c r="AN32" s="5"/>
      <c r="AO32" s="91"/>
      <c r="AP32" s="5"/>
      <c r="AQ32" s="96"/>
      <c r="AR32" s="5"/>
      <c r="AS32" s="30"/>
      <c r="AT32" s="31"/>
      <c r="AU32" s="32"/>
      <c r="BK32" s="5"/>
    </row>
    <row r="33" spans="1:63" thickTop="1" thickBot="1" x14ac:dyDescent="0.3">
      <c r="A33" s="15">
        <v>176</v>
      </c>
      <c r="B33" s="16">
        <v>16</v>
      </c>
      <c r="C33" s="16">
        <v>6</v>
      </c>
      <c r="D33" s="17"/>
      <c r="E33" s="1">
        <v>131</v>
      </c>
      <c r="F33" s="1">
        <v>11</v>
      </c>
      <c r="G33" s="18">
        <f t="shared" si="1"/>
        <v>120</v>
      </c>
      <c r="H33" s="17"/>
      <c r="I33" s="16">
        <v>10</v>
      </c>
      <c r="J33" s="3">
        <f t="shared" ref="J33:J38" si="10">225-5.625*(B33-0.5-(I33-0.5*G33)/G33)</f>
        <v>135.46875</v>
      </c>
      <c r="K33" s="20">
        <f t="shared" si="2"/>
        <v>186</v>
      </c>
      <c r="L33" s="17"/>
      <c r="N33" s="17"/>
      <c r="O33" s="8">
        <v>0.15</v>
      </c>
      <c r="P33" s="9">
        <v>6.6000000000000003E-2</v>
      </c>
      <c r="Q33" s="17"/>
      <c r="R33" s="10">
        <v>167</v>
      </c>
      <c r="S33" s="11">
        <v>28</v>
      </c>
      <c r="T33" s="12">
        <v>1900</v>
      </c>
      <c r="U33" s="17"/>
      <c r="V33" s="7">
        <v>274</v>
      </c>
      <c r="W33" s="13">
        <f t="shared" si="0"/>
        <v>15.378437838901698</v>
      </c>
      <c r="Z33" s="13" t="e">
        <f t="shared" si="3"/>
        <v>#DIV/0!</v>
      </c>
      <c r="AB33" s="72">
        <v>10</v>
      </c>
      <c r="AE33" s="8">
        <f>(O33*AB33+O34*AB34+O35*AB35)/100</f>
        <v>0.1741</v>
      </c>
      <c r="AF33" s="3">
        <f>225-5.625*($B33-0.5)</f>
        <v>137.8125</v>
      </c>
      <c r="AG33">
        <f>K33</f>
        <v>186</v>
      </c>
      <c r="AI33" s="2">
        <v>600</v>
      </c>
      <c r="AJ33" s="7">
        <f t="shared" si="4"/>
        <v>0.1002</v>
      </c>
      <c r="AK33" s="8">
        <f t="shared" si="5"/>
        <v>4.9799999999999997E-2</v>
      </c>
      <c r="AL33" s="56">
        <f t="shared" si="6"/>
        <v>1.6799999999999999E-2</v>
      </c>
      <c r="AM33" s="9">
        <f t="shared" si="7"/>
        <v>4.9200000000000008E-2</v>
      </c>
      <c r="AO33" s="90">
        <f>($AB33*AK33+$AB34*AK34+$AB35*AK35)/100</f>
        <v>3.6940000000000021E-2</v>
      </c>
      <c r="AQ33" s="95">
        <f>($AB33*AM33+$AB34*AM34+$AB35*AM35)/100</f>
        <v>4.4240000000000002E-2</v>
      </c>
      <c r="AS33" s="10">
        <f>($AB33*R33+$AB34*R34+$AB35*R35)/100</f>
        <v>222.8</v>
      </c>
      <c r="AT33" s="11">
        <f>($AB33*S33+$AB34*S34+$AB35*S35)/100</f>
        <v>31.05</v>
      </c>
      <c r="AU33" s="12">
        <f>($AB33*T33+$AB34*T34+$AB35*T35)/100</f>
        <v>1825</v>
      </c>
    </row>
    <row r="34" spans="1:63" thickTop="1" thickBot="1" x14ac:dyDescent="0.3">
      <c r="A34" s="4">
        <v>176</v>
      </c>
      <c r="B34" s="2">
        <v>16</v>
      </c>
      <c r="C34" s="2">
        <v>6</v>
      </c>
      <c r="E34" s="1">
        <v>131</v>
      </c>
      <c r="F34" s="1">
        <v>11</v>
      </c>
      <c r="G34" s="3">
        <f t="shared" si="1"/>
        <v>120</v>
      </c>
      <c r="I34" s="2">
        <v>60</v>
      </c>
      <c r="J34" s="3">
        <f t="shared" si="10"/>
        <v>137.8125</v>
      </c>
      <c r="K34" s="6">
        <f t="shared" si="2"/>
        <v>186</v>
      </c>
      <c r="O34" s="8">
        <v>0.16600000000000001</v>
      </c>
      <c r="P34" s="9">
        <v>6.3E-2</v>
      </c>
      <c r="R34" s="10">
        <v>222</v>
      </c>
      <c r="S34" s="11">
        <v>31</v>
      </c>
      <c r="T34" s="12">
        <v>1800</v>
      </c>
      <c r="V34" s="7">
        <v>279</v>
      </c>
      <c r="W34" s="13">
        <f t="shared" si="0"/>
        <v>15.357157741809194</v>
      </c>
      <c r="Z34" s="13" t="e">
        <f t="shared" si="3"/>
        <v>#DIV/0!</v>
      </c>
      <c r="AB34" s="72">
        <v>85</v>
      </c>
      <c r="AI34" s="2">
        <v>600</v>
      </c>
      <c r="AJ34" s="7">
        <f t="shared" si="4"/>
        <v>0.13319999999999999</v>
      </c>
      <c r="AK34" s="8">
        <f t="shared" si="5"/>
        <v>3.2800000000000024E-2</v>
      </c>
      <c r="AL34" s="56">
        <f t="shared" si="6"/>
        <v>1.8599999999999998E-2</v>
      </c>
      <c r="AM34" s="9">
        <f t="shared" si="7"/>
        <v>4.4400000000000002E-2</v>
      </c>
    </row>
    <row r="35" spans="1:63" s="40" customFormat="1" thickTop="1" thickBot="1" x14ac:dyDescent="0.3">
      <c r="A35" s="35">
        <v>176</v>
      </c>
      <c r="B35" s="36">
        <v>16</v>
      </c>
      <c r="C35" s="36">
        <v>6</v>
      </c>
      <c r="D35" s="37"/>
      <c r="E35" s="38">
        <v>131</v>
      </c>
      <c r="F35" s="38">
        <v>11</v>
      </c>
      <c r="G35" s="39">
        <f t="shared" si="1"/>
        <v>120</v>
      </c>
      <c r="H35" s="37"/>
      <c r="I35" s="86">
        <v>110</v>
      </c>
      <c r="J35" s="3">
        <f t="shared" si="10"/>
        <v>140.15625</v>
      </c>
      <c r="K35" s="52">
        <f t="shared" si="2"/>
        <v>186</v>
      </c>
      <c r="L35" s="37"/>
      <c r="N35" s="37"/>
      <c r="O35" s="41">
        <v>0.36</v>
      </c>
      <c r="P35" s="42">
        <v>6.2E-2</v>
      </c>
      <c r="Q35" s="37"/>
      <c r="R35" s="43">
        <v>348</v>
      </c>
      <c r="S35" s="44">
        <v>38</v>
      </c>
      <c r="T35" s="45">
        <v>2100</v>
      </c>
      <c r="U35" s="37"/>
      <c r="V35" s="46">
        <v>680</v>
      </c>
      <c r="W35" s="75">
        <f t="shared" si="0"/>
        <v>14.652845537742532</v>
      </c>
      <c r="X35" s="5"/>
      <c r="Y35" s="56"/>
      <c r="Z35" s="13" t="e">
        <f t="shared" si="3"/>
        <v>#DIV/0!</v>
      </c>
      <c r="AB35" s="40">
        <v>5</v>
      </c>
      <c r="AD35" s="5"/>
      <c r="AE35" s="28"/>
      <c r="AF35" s="3"/>
      <c r="AH35" s="5"/>
      <c r="AI35" s="83">
        <v>800</v>
      </c>
      <c r="AJ35" s="7">
        <f t="shared" si="4"/>
        <v>0.27839999999999998</v>
      </c>
      <c r="AK35" s="8">
        <f t="shared" si="5"/>
        <v>8.1600000000000006E-2</v>
      </c>
      <c r="AL35" s="56">
        <f t="shared" si="6"/>
        <v>3.04E-2</v>
      </c>
      <c r="AM35" s="9">
        <f t="shared" si="7"/>
        <v>3.1600000000000003E-2</v>
      </c>
      <c r="AN35" s="5"/>
      <c r="AO35" s="91"/>
      <c r="AP35" s="5"/>
      <c r="AQ35" s="96"/>
      <c r="AR35" s="5"/>
      <c r="AS35" s="30"/>
      <c r="AT35" s="31"/>
      <c r="AU35" s="32"/>
      <c r="BK35" s="5"/>
    </row>
    <row r="36" spans="1:63" thickTop="1" thickBot="1" x14ac:dyDescent="0.3">
      <c r="A36" s="15">
        <v>196</v>
      </c>
      <c r="B36" s="16">
        <v>20</v>
      </c>
      <c r="C36" s="16">
        <v>6</v>
      </c>
      <c r="D36" s="17"/>
      <c r="E36" s="1">
        <v>133</v>
      </c>
      <c r="F36" s="1">
        <v>11</v>
      </c>
      <c r="G36" s="18">
        <f t="shared" si="1"/>
        <v>122</v>
      </c>
      <c r="H36" s="17"/>
      <c r="I36" s="16">
        <v>10</v>
      </c>
      <c r="J36" s="3">
        <f t="shared" si="10"/>
        <v>112.9610655737705</v>
      </c>
      <c r="K36" s="20">
        <f t="shared" si="2"/>
        <v>186</v>
      </c>
      <c r="L36" s="17"/>
      <c r="N36" s="17"/>
      <c r="O36" s="8">
        <v>0.27</v>
      </c>
      <c r="P36" s="9">
        <v>7.6999999999999999E-2</v>
      </c>
      <c r="Q36" s="17"/>
      <c r="R36" s="10">
        <v>201</v>
      </c>
      <c r="S36" s="11">
        <v>64</v>
      </c>
      <c r="T36" s="12">
        <v>2800</v>
      </c>
      <c r="U36" s="17"/>
      <c r="V36" s="7">
        <v>0</v>
      </c>
      <c r="W36" s="13" t="e">
        <f t="shared" si="0"/>
        <v>#DIV/0!</v>
      </c>
      <c r="Z36" s="13" t="e">
        <f t="shared" si="3"/>
        <v>#DIV/0!</v>
      </c>
      <c r="AB36" s="89">
        <v>10</v>
      </c>
      <c r="AC36" t="s">
        <v>24</v>
      </c>
      <c r="AE36" s="8">
        <f>(O36*AB36+O37*AB37+O38*AB38)/100</f>
        <v>0.2046</v>
      </c>
      <c r="AF36" s="3">
        <f>225-5.625*($B36-0.5)</f>
        <v>115.3125</v>
      </c>
      <c r="AG36">
        <f>K36</f>
        <v>186</v>
      </c>
      <c r="AI36" s="2">
        <v>0</v>
      </c>
      <c r="AJ36" s="7">
        <f t="shared" si="4"/>
        <v>0</v>
      </c>
      <c r="AK36" s="8">
        <f t="shared" si="5"/>
        <v>0.27</v>
      </c>
      <c r="AL36" s="56">
        <f t="shared" si="6"/>
        <v>0</v>
      </c>
      <c r="AM36" s="9">
        <f t="shared" si="7"/>
        <v>7.6999999999999999E-2</v>
      </c>
      <c r="AO36" s="90">
        <f>($AB36*AK36+$AB37*AK37+$AB38*AK38)/100</f>
        <v>6.6720000000000029E-2</v>
      </c>
      <c r="AQ36" s="95">
        <f>($AB36*AM36+$AB37*AM37+$AB38*AM38)/100</f>
        <v>5.3730000000000014E-2</v>
      </c>
      <c r="AS36" s="10">
        <f>($AB36*R36+$AB37*R37+$AB38*R38)/100</f>
        <v>219.7</v>
      </c>
      <c r="AT36" s="11">
        <f>($AB36*S36+$AB37*S37+$AB38*S38)/100</f>
        <v>62.3</v>
      </c>
      <c r="AU36" s="12">
        <f>($AB36*T36+$AB37*T37+$AB38*T38)/100</f>
        <v>2028</v>
      </c>
    </row>
    <row r="37" spans="1:63" thickTop="1" thickBot="1" x14ac:dyDescent="0.3">
      <c r="A37" s="4">
        <v>196</v>
      </c>
      <c r="B37" s="93">
        <v>20</v>
      </c>
      <c r="C37" s="93">
        <v>6</v>
      </c>
      <c r="E37" s="1">
        <v>133</v>
      </c>
      <c r="F37" s="1">
        <v>11</v>
      </c>
      <c r="G37" s="3">
        <f>E37-F37</f>
        <v>122</v>
      </c>
      <c r="I37" s="2">
        <v>61</v>
      </c>
      <c r="J37" s="3">
        <f t="shared" si="10"/>
        <v>115.3125</v>
      </c>
      <c r="K37" s="6">
        <f t="shared" si="2"/>
        <v>186</v>
      </c>
      <c r="O37" s="8">
        <v>0.20300000000000001</v>
      </c>
      <c r="P37" s="9">
        <v>0.1</v>
      </c>
      <c r="R37" s="10">
        <v>238</v>
      </c>
      <c r="S37" s="11">
        <v>67</v>
      </c>
      <c r="T37" s="12">
        <v>2060</v>
      </c>
      <c r="V37" s="7">
        <v>326</v>
      </c>
      <c r="W37" s="13">
        <f t="shared" si="0"/>
        <v>15.187983626069885</v>
      </c>
      <c r="Z37" s="13" t="e">
        <f t="shared" si="3"/>
        <v>#DIV/0!</v>
      </c>
      <c r="AB37" s="89">
        <v>80</v>
      </c>
      <c r="AC37" t="s">
        <v>24</v>
      </c>
      <c r="AI37" s="2">
        <v>700</v>
      </c>
      <c r="AJ37" s="7">
        <f t="shared" si="4"/>
        <v>0.1666</v>
      </c>
      <c r="AK37" s="8">
        <f t="shared" si="5"/>
        <v>3.6400000000000016E-2</v>
      </c>
      <c r="AL37" s="56">
        <f t="shared" si="6"/>
        <v>4.6899999999999997E-2</v>
      </c>
      <c r="AM37" s="9">
        <f t="shared" si="7"/>
        <v>5.3100000000000008E-2</v>
      </c>
    </row>
    <row r="38" spans="1:63" s="27" customFormat="1" thickTop="1" thickBot="1" x14ac:dyDescent="0.3">
      <c r="A38" s="21">
        <v>196</v>
      </c>
      <c r="B38" s="22">
        <v>20</v>
      </c>
      <c r="C38" s="22">
        <v>6</v>
      </c>
      <c r="D38" s="23"/>
      <c r="E38" s="24">
        <v>133</v>
      </c>
      <c r="F38" s="24">
        <v>11</v>
      </c>
      <c r="G38" s="25">
        <f t="shared" si="1"/>
        <v>122</v>
      </c>
      <c r="H38" s="23"/>
      <c r="I38" s="86">
        <v>112</v>
      </c>
      <c r="J38" s="3">
        <f t="shared" si="10"/>
        <v>117.6639344262295</v>
      </c>
      <c r="K38" s="26">
        <f t="shared" si="2"/>
        <v>186</v>
      </c>
      <c r="L38" s="23"/>
      <c r="N38" s="23"/>
      <c r="O38" s="28">
        <v>0.152</v>
      </c>
      <c r="P38" s="29">
        <v>4.7E-2</v>
      </c>
      <c r="Q38" s="23"/>
      <c r="R38" s="30">
        <v>92</v>
      </c>
      <c r="S38" s="31">
        <v>23</v>
      </c>
      <c r="T38" s="32">
        <v>1000</v>
      </c>
      <c r="U38" s="23"/>
      <c r="V38" s="33">
        <v>285</v>
      </c>
      <c r="W38" s="75">
        <f t="shared" si="0"/>
        <v>15.332570537853254</v>
      </c>
      <c r="X38" s="5"/>
      <c r="Y38" s="56"/>
      <c r="Z38" s="13" t="e">
        <f t="shared" si="3"/>
        <v>#DIV/0!</v>
      </c>
      <c r="AB38" s="27">
        <v>10</v>
      </c>
      <c r="AD38" s="5"/>
      <c r="AE38" s="28"/>
      <c r="AF38" s="3"/>
      <c r="AH38" s="5"/>
      <c r="AI38" s="2">
        <v>500</v>
      </c>
      <c r="AJ38" s="7">
        <f t="shared" si="4"/>
        <v>4.5999999999999999E-2</v>
      </c>
      <c r="AK38" s="8">
        <f t="shared" si="5"/>
        <v>0.106</v>
      </c>
      <c r="AL38" s="56">
        <f t="shared" si="6"/>
        <v>1.15E-2</v>
      </c>
      <c r="AM38" s="9">
        <f t="shared" si="7"/>
        <v>3.5500000000000004E-2</v>
      </c>
      <c r="AN38" s="5"/>
      <c r="AO38" s="91"/>
      <c r="AP38" s="5"/>
      <c r="AQ38" s="96"/>
      <c r="AR38" s="5"/>
      <c r="AS38" s="30"/>
      <c r="AT38" s="31"/>
      <c r="AU38" s="32"/>
      <c r="BK38" s="5"/>
    </row>
    <row r="39" spans="1:63" thickTop="1" thickBot="1" x14ac:dyDescent="0.3">
      <c r="A39" s="15">
        <v>215</v>
      </c>
      <c r="B39" s="16">
        <v>22</v>
      </c>
      <c r="C39" s="16">
        <v>5</v>
      </c>
      <c r="D39" s="17"/>
      <c r="E39" s="1">
        <v>136</v>
      </c>
      <c r="F39" s="1">
        <v>10</v>
      </c>
      <c r="G39" s="18">
        <f t="shared" si="1"/>
        <v>126</v>
      </c>
      <c r="H39" s="17"/>
      <c r="I39" s="19">
        <v>10</v>
      </c>
      <c r="J39" s="3">
        <f t="shared" si="8"/>
        <v>106.42857142857143</v>
      </c>
      <c r="K39" s="20">
        <f t="shared" si="2"/>
        <v>174</v>
      </c>
      <c r="L39" s="17"/>
      <c r="N39" s="17"/>
      <c r="O39" s="8">
        <v>0.53</v>
      </c>
      <c r="P39" s="9">
        <v>6.2E-2</v>
      </c>
      <c r="Q39" s="17"/>
      <c r="R39" s="10">
        <v>236</v>
      </c>
      <c r="S39" s="11">
        <v>63</v>
      </c>
      <c r="T39" s="12">
        <v>1800</v>
      </c>
      <c r="U39" s="17"/>
      <c r="V39" s="7">
        <v>437</v>
      </c>
      <c r="W39" s="13">
        <f t="shared" si="0"/>
        <v>14.92927644577955</v>
      </c>
      <c r="Z39" s="13" t="e">
        <f t="shared" si="3"/>
        <v>#DIV/0!</v>
      </c>
      <c r="AB39" s="72">
        <v>10</v>
      </c>
      <c r="AE39" s="8">
        <f>(O39*AB39+O40*AB40+O41*AB41)/100</f>
        <v>0.27960000000000002</v>
      </c>
      <c r="AF39" s="3">
        <f>225-5.625*($B39-0.5)</f>
        <v>104.0625</v>
      </c>
      <c r="AG39">
        <f>K39</f>
        <v>174</v>
      </c>
      <c r="AI39" s="2">
        <v>1000</v>
      </c>
      <c r="AJ39" s="7">
        <f t="shared" si="4"/>
        <v>0.23599999999999999</v>
      </c>
      <c r="AK39" s="8">
        <f t="shared" si="5"/>
        <v>0.29400000000000004</v>
      </c>
      <c r="AL39" s="56">
        <f t="shared" si="6"/>
        <v>6.3E-2</v>
      </c>
      <c r="AM39" s="9">
        <f t="shared" si="7"/>
        <v>-1.0000000000000009E-3</v>
      </c>
      <c r="AO39" s="90">
        <f>($AB39*AK39+$AB40*AK40+$AB41*AK41)/100</f>
        <v>0.14032000000000003</v>
      </c>
      <c r="AQ39" s="95">
        <f>($AB39*AM39+$AB40*AM40+$AB41*AM41)/100</f>
        <v>5.1859999999999996E-2</v>
      </c>
      <c r="AS39" s="10">
        <f>($AB39*R39+$AB40*R40+$AB41*R41)/100</f>
        <v>207</v>
      </c>
      <c r="AT39" s="11">
        <f>($AB39*S39+$AB40*S40+$AB41*S41)/100</f>
        <v>60.6</v>
      </c>
      <c r="AU39" s="12">
        <f>($AB39*T39+$AB40*T40+$AB41*T41)/100</f>
        <v>1587</v>
      </c>
    </row>
    <row r="40" spans="1:63" thickTop="1" thickBot="1" x14ac:dyDescent="0.3">
      <c r="A40" s="4">
        <v>215</v>
      </c>
      <c r="B40" s="93">
        <v>22</v>
      </c>
      <c r="C40" s="93">
        <v>5</v>
      </c>
      <c r="E40" s="1">
        <v>136</v>
      </c>
      <c r="F40" s="1">
        <v>10</v>
      </c>
      <c r="G40" s="3">
        <f t="shared" si="1"/>
        <v>126</v>
      </c>
      <c r="I40" s="2">
        <v>63</v>
      </c>
      <c r="J40" s="3">
        <f t="shared" si="8"/>
        <v>104.0625</v>
      </c>
      <c r="K40" s="6">
        <f t="shared" si="2"/>
        <v>174</v>
      </c>
      <c r="O40" s="8">
        <v>0.255</v>
      </c>
      <c r="P40" s="9">
        <v>8.7999999999999995E-2</v>
      </c>
      <c r="R40" s="10">
        <v>194</v>
      </c>
      <c r="S40" s="11">
        <v>60</v>
      </c>
      <c r="T40" s="12">
        <v>1500</v>
      </c>
      <c r="V40" s="7">
        <v>213</v>
      </c>
      <c r="W40" s="13">
        <f t="shared" si="0"/>
        <v>15.714590570788403</v>
      </c>
      <c r="Z40" s="13" t="e">
        <f t="shared" si="3"/>
        <v>#DIV/0!</v>
      </c>
      <c r="AB40" s="72">
        <v>80</v>
      </c>
      <c r="AI40" s="2">
        <v>600</v>
      </c>
      <c r="AJ40" s="7">
        <f t="shared" si="4"/>
        <v>0.11639999999999999</v>
      </c>
      <c r="AK40" s="8">
        <f t="shared" si="5"/>
        <v>0.1386</v>
      </c>
      <c r="AL40" s="56">
        <f t="shared" si="6"/>
        <v>3.5999999999999997E-2</v>
      </c>
      <c r="AM40" s="9">
        <f t="shared" si="7"/>
        <v>5.1999999999999998E-2</v>
      </c>
    </row>
    <row r="41" spans="1:63" s="27" customFormat="1" thickTop="1" thickBot="1" x14ac:dyDescent="0.3">
      <c r="A41" s="21">
        <v>215</v>
      </c>
      <c r="B41" s="22">
        <v>22</v>
      </c>
      <c r="C41" s="22">
        <v>5</v>
      </c>
      <c r="D41" s="23"/>
      <c r="E41" s="24">
        <v>136</v>
      </c>
      <c r="F41" s="24">
        <v>10</v>
      </c>
      <c r="G41" s="25">
        <f t="shared" si="1"/>
        <v>126</v>
      </c>
      <c r="H41" s="23"/>
      <c r="I41" s="22">
        <v>116</v>
      </c>
      <c r="J41" s="3">
        <f t="shared" si="8"/>
        <v>101.69642857142857</v>
      </c>
      <c r="K41" s="26">
        <f t="shared" si="2"/>
        <v>174</v>
      </c>
      <c r="L41" s="23"/>
      <c r="N41" s="23"/>
      <c r="O41" s="28">
        <v>0.22600000000000001</v>
      </c>
      <c r="P41" s="29">
        <v>0.154</v>
      </c>
      <c r="Q41" s="23"/>
      <c r="R41" s="30">
        <v>282</v>
      </c>
      <c r="S41" s="31">
        <v>63</v>
      </c>
      <c r="T41" s="32">
        <v>2070</v>
      </c>
      <c r="U41" s="23"/>
      <c r="V41" s="33">
        <v>0</v>
      </c>
      <c r="W41" s="75" t="e">
        <f t="shared" si="0"/>
        <v>#DIV/0!</v>
      </c>
      <c r="X41" s="5"/>
      <c r="Y41" s="56"/>
      <c r="Z41" s="13" t="e">
        <f t="shared" si="3"/>
        <v>#DIV/0!</v>
      </c>
      <c r="AB41" s="27">
        <v>10</v>
      </c>
      <c r="AD41" s="5"/>
      <c r="AE41" s="28"/>
      <c r="AF41" s="3"/>
      <c r="AH41" s="5"/>
      <c r="AI41" s="2">
        <v>800</v>
      </c>
      <c r="AJ41" s="7">
        <f t="shared" si="4"/>
        <v>0.22559999999999999</v>
      </c>
      <c r="AK41" s="8">
        <f t="shared" si="5"/>
        <v>4.0000000000001146E-4</v>
      </c>
      <c r="AL41" s="56">
        <f t="shared" si="6"/>
        <v>5.04E-2</v>
      </c>
      <c r="AM41" s="9">
        <f t="shared" si="7"/>
        <v>0.1036</v>
      </c>
      <c r="AN41" s="5"/>
      <c r="AO41" s="91"/>
      <c r="AP41" s="5"/>
      <c r="AQ41" s="96"/>
      <c r="AR41" s="5"/>
      <c r="AS41" s="30"/>
      <c r="AT41" s="31"/>
      <c r="AU41" s="32"/>
      <c r="BK41" s="5"/>
    </row>
    <row r="42" spans="1:63" thickTop="1" thickBot="1" x14ac:dyDescent="0.3">
      <c r="A42" s="15">
        <v>216</v>
      </c>
      <c r="B42" s="16">
        <v>22</v>
      </c>
      <c r="C42" s="16">
        <v>6</v>
      </c>
      <c r="D42" s="17"/>
      <c r="E42" s="1">
        <v>130</v>
      </c>
      <c r="F42" s="1">
        <v>8</v>
      </c>
      <c r="G42" s="18">
        <f t="shared" si="1"/>
        <v>122</v>
      </c>
      <c r="H42" s="17"/>
      <c r="I42" s="16">
        <v>10</v>
      </c>
      <c r="J42" s="3">
        <f>225-5.625*(B42-0.5-(I42-0.5*G42)/G42)</f>
        <v>101.7110655737705</v>
      </c>
      <c r="K42" s="20">
        <f t="shared" si="2"/>
        <v>186</v>
      </c>
      <c r="L42" s="17"/>
      <c r="N42" s="17"/>
      <c r="O42" s="8">
        <v>0.152</v>
      </c>
      <c r="P42" s="9">
        <v>8.1000000000000003E-2</v>
      </c>
      <c r="Q42" s="17"/>
      <c r="R42" s="10">
        <v>130</v>
      </c>
      <c r="S42" s="11">
        <v>17</v>
      </c>
      <c r="T42" s="12">
        <v>800</v>
      </c>
      <c r="U42" s="17"/>
      <c r="V42" s="7">
        <v>219</v>
      </c>
      <c r="W42" s="13">
        <f t="shared" si="0"/>
        <v>15.673611595819933</v>
      </c>
      <c r="Z42" s="13" t="e">
        <f t="shared" si="3"/>
        <v>#DIV/0!</v>
      </c>
      <c r="AB42" s="72">
        <v>10</v>
      </c>
      <c r="AE42" s="8">
        <f>(O42*AB42+O43*AB43+O44*AB44)/100</f>
        <v>0.14554999999999998</v>
      </c>
      <c r="AF42" s="3">
        <f>225-5.625*($B42-0.5)</f>
        <v>104.0625</v>
      </c>
      <c r="AG42">
        <f>K42</f>
        <v>186</v>
      </c>
      <c r="AI42" s="2">
        <v>800</v>
      </c>
      <c r="AJ42" s="7">
        <f t="shared" si="4"/>
        <v>0.104</v>
      </c>
      <c r="AK42" s="8">
        <f t="shared" si="5"/>
        <v>4.8000000000000001E-2</v>
      </c>
      <c r="AL42" s="56">
        <f t="shared" si="6"/>
        <v>1.3599999999999999E-2</v>
      </c>
      <c r="AM42" s="9">
        <f t="shared" si="7"/>
        <v>6.7400000000000002E-2</v>
      </c>
      <c r="AO42" s="90">
        <f>($AB42*AK42+$AB43*AK43+$AB44*AK44)/100</f>
        <v>4.4430000000000011E-2</v>
      </c>
      <c r="AQ42" s="95">
        <f>($AB42*AM42+$AB43*AM43+$AB44*AM44)/100</f>
        <v>7.2980000000000003E-2</v>
      </c>
      <c r="AS42" s="10">
        <f>($AB42*R42+$AB43*R43+$AB44*R44)/100</f>
        <v>164.2</v>
      </c>
      <c r="AT42" s="11">
        <f>($AB42*S42+$AB43*S43+$AB44*S44)/100</f>
        <v>21.3</v>
      </c>
      <c r="AU42" s="12">
        <f>($AB42*T42+$AB43*T43+$AB44*T44)/100</f>
        <v>1175</v>
      </c>
    </row>
    <row r="43" spans="1:63" thickTop="1" thickBot="1" x14ac:dyDescent="0.3">
      <c r="A43" s="4">
        <v>216</v>
      </c>
      <c r="B43" s="93">
        <v>22</v>
      </c>
      <c r="C43" s="93">
        <v>6</v>
      </c>
      <c r="E43" s="1">
        <v>130</v>
      </c>
      <c r="F43" s="1">
        <v>8</v>
      </c>
      <c r="G43" s="3">
        <f t="shared" si="1"/>
        <v>122</v>
      </c>
      <c r="I43" s="2">
        <v>61</v>
      </c>
      <c r="J43" s="3">
        <f>225-5.625*(B43-0.5-(I43-0.5*G43)/G43)</f>
        <v>104.0625</v>
      </c>
      <c r="K43" s="6">
        <f t="shared" si="2"/>
        <v>186</v>
      </c>
      <c r="O43" s="8">
        <v>0.13800000000000001</v>
      </c>
      <c r="P43" s="9">
        <v>8.8999999999999996E-2</v>
      </c>
      <c r="R43" s="10">
        <v>167</v>
      </c>
      <c r="S43" s="11">
        <v>21</v>
      </c>
      <c r="T43" s="12">
        <v>1200</v>
      </c>
      <c r="V43" s="7">
        <v>206</v>
      </c>
      <c r="W43" s="13">
        <f t="shared" si="0"/>
        <v>15.765268450628692</v>
      </c>
      <c r="Z43" s="13" t="e">
        <f t="shared" si="3"/>
        <v>#DIV/0!</v>
      </c>
      <c r="AB43" s="72">
        <v>85</v>
      </c>
      <c r="AC43" t="s">
        <v>25</v>
      </c>
      <c r="AI43" s="2">
        <v>600</v>
      </c>
      <c r="AJ43" s="7">
        <f t="shared" si="4"/>
        <v>0.1002</v>
      </c>
      <c r="AK43" s="8">
        <f t="shared" si="5"/>
        <v>3.7800000000000014E-2</v>
      </c>
      <c r="AL43" s="56">
        <f t="shared" si="6"/>
        <v>1.26E-2</v>
      </c>
      <c r="AM43" s="9">
        <f t="shared" si="7"/>
        <v>7.6399999999999996E-2</v>
      </c>
    </row>
    <row r="44" spans="1:63" s="27" customFormat="1" thickTop="1" thickBot="1" x14ac:dyDescent="0.3">
      <c r="A44" s="21">
        <v>216</v>
      </c>
      <c r="B44" s="22">
        <v>22</v>
      </c>
      <c r="C44" s="22">
        <v>6</v>
      </c>
      <c r="D44" s="23"/>
      <c r="E44" s="24">
        <v>130</v>
      </c>
      <c r="F44" s="24">
        <v>8</v>
      </c>
      <c r="G44" s="25">
        <f t="shared" si="1"/>
        <v>122</v>
      </c>
      <c r="H44" s="23"/>
      <c r="I44" s="86">
        <v>112</v>
      </c>
      <c r="J44" s="3">
        <f>225-5.625*(B44-0.5-(I44-0.5*G44)/G44)</f>
        <v>106.4139344262295</v>
      </c>
      <c r="K44" s="26">
        <f t="shared" si="2"/>
        <v>186</v>
      </c>
      <c r="L44" s="23"/>
      <c r="N44" s="23"/>
      <c r="O44" s="28">
        <v>0.26100000000000001</v>
      </c>
      <c r="P44" s="29">
        <v>4.7E-2</v>
      </c>
      <c r="Q44" s="23"/>
      <c r="R44" s="30">
        <v>185</v>
      </c>
      <c r="S44" s="31">
        <v>35</v>
      </c>
      <c r="T44" s="32">
        <v>1500</v>
      </c>
      <c r="U44" s="23"/>
      <c r="V44" s="33">
        <v>476</v>
      </c>
      <c r="W44" s="75">
        <f t="shared" si="0"/>
        <v>14.866351380259534</v>
      </c>
      <c r="X44" s="5"/>
      <c r="Y44" s="56"/>
      <c r="Z44" s="13" t="e">
        <f t="shared" si="3"/>
        <v>#DIV/0!</v>
      </c>
      <c r="AB44" s="27">
        <v>5</v>
      </c>
      <c r="AC44" s="27" t="s">
        <v>25</v>
      </c>
      <c r="AD44" s="5"/>
      <c r="AE44" s="28"/>
      <c r="AF44" s="3"/>
      <c r="AH44" s="5"/>
      <c r="AI44" s="2">
        <v>600</v>
      </c>
      <c r="AJ44" s="7">
        <f t="shared" si="4"/>
        <v>0.111</v>
      </c>
      <c r="AK44" s="8">
        <f t="shared" si="5"/>
        <v>0.15000000000000002</v>
      </c>
      <c r="AL44" s="56">
        <f t="shared" si="6"/>
        <v>2.0999999999999998E-2</v>
      </c>
      <c r="AM44" s="9">
        <f t="shared" si="7"/>
        <v>2.6000000000000002E-2</v>
      </c>
      <c r="AN44" s="5"/>
      <c r="AO44" s="91"/>
      <c r="AP44" s="5"/>
      <c r="AQ44" s="96"/>
      <c r="AR44" s="5"/>
      <c r="AS44" s="30"/>
      <c r="AT44" s="31"/>
      <c r="AU44" s="32"/>
      <c r="BK44" s="5"/>
    </row>
    <row r="45" spans="1:63" thickTop="1" thickBot="1" x14ac:dyDescent="0.3">
      <c r="A45" s="15">
        <v>126</v>
      </c>
      <c r="B45" s="16">
        <v>13</v>
      </c>
      <c r="C45" s="16">
        <v>6</v>
      </c>
      <c r="D45" s="17"/>
      <c r="E45" s="1">
        <v>58</v>
      </c>
      <c r="F45" s="1">
        <v>-59</v>
      </c>
      <c r="G45" s="18">
        <f t="shared" ref="G45:G79" si="11">E45-F45</f>
        <v>117</v>
      </c>
      <c r="H45" s="17"/>
      <c r="I45" s="19">
        <v>10</v>
      </c>
      <c r="J45" s="3">
        <f t="shared" si="8"/>
        <v>157.01923076923077</v>
      </c>
      <c r="K45" s="20">
        <f t="shared" ref="K45:K79" si="12">120+12*(C45-0.5)</f>
        <v>186</v>
      </c>
      <c r="L45" s="17"/>
      <c r="N45" s="17"/>
      <c r="O45" s="54">
        <v>6.3E-2</v>
      </c>
      <c r="P45" s="9">
        <v>1.6E-2</v>
      </c>
      <c r="Q45" s="17"/>
      <c r="R45" s="10">
        <v>101</v>
      </c>
      <c r="S45" s="11">
        <v>10</v>
      </c>
      <c r="T45" s="12">
        <v>1800</v>
      </c>
      <c r="U45" s="17"/>
      <c r="V45" s="7">
        <v>0</v>
      </c>
      <c r="W45" s="13" t="e">
        <f t="shared" ref="W45:W78" si="13">SQRT(0.1^2+0.1^2+1/V45)*100</f>
        <v>#DIV/0!</v>
      </c>
      <c r="Z45" s="13" t="e">
        <f t="shared" ref="Z45:Z79" si="14">SQRT(0.1^2+0.1^2+1/Y45)</f>
        <v>#DIV/0!</v>
      </c>
      <c r="AB45" s="72">
        <v>15</v>
      </c>
      <c r="AE45" s="8">
        <f>(O45*AB45+O46*AB46+O47*AB47)/100</f>
        <v>7.0349999999999996E-2</v>
      </c>
      <c r="AF45" s="3">
        <f>225-5.625*($B45-0.5)</f>
        <v>154.6875</v>
      </c>
      <c r="AG45">
        <f>K45</f>
        <v>186</v>
      </c>
      <c r="AI45" s="2">
        <v>600</v>
      </c>
      <c r="AJ45" s="7">
        <f t="shared" ref="AJ45:AJ79" si="15">AI45*R45*0.000001</f>
        <v>6.0599999999999994E-2</v>
      </c>
      <c r="AK45" s="8">
        <f t="shared" ref="AK45:AK79" si="16">O45-AJ45</f>
        <v>2.4000000000000063E-3</v>
      </c>
      <c r="AL45" s="56">
        <f t="shared" ref="AL45:AL79" si="17">S45*AI45*0.000001</f>
        <v>6.0000000000000001E-3</v>
      </c>
      <c r="AM45" s="9">
        <f t="shared" ref="AM45:AM79" si="18">P45-AL45</f>
        <v>0.01</v>
      </c>
      <c r="AO45" s="90">
        <f>($AB45*AK45+$AB46*AK46+$AB47*AK47)/100</f>
        <v>-5.8799999999999963E-3</v>
      </c>
      <c r="AQ45" s="95">
        <f>($AB45*AM45+$AB46*AM46+$AB47*AM47)/100</f>
        <v>9.1799999999999989E-3</v>
      </c>
      <c r="AS45" s="10">
        <f>($AB45*R45+$AB46*R46+$AB47*R47)/100</f>
        <v>179.55</v>
      </c>
      <c r="AT45" s="11">
        <f>($AB45*S45+$AB46*S46+$AB47*S47)/100</f>
        <v>41.7</v>
      </c>
      <c r="AU45" s="12">
        <f>($AB45*T45+$AB46*T46+$AB47*T47)/100</f>
        <v>1870</v>
      </c>
    </row>
    <row r="46" spans="1:63" thickTop="1" thickBot="1" x14ac:dyDescent="0.3">
      <c r="A46" s="4">
        <v>126</v>
      </c>
      <c r="B46" s="93">
        <v>13</v>
      </c>
      <c r="C46" s="93">
        <v>6</v>
      </c>
      <c r="E46" s="1">
        <v>58</v>
      </c>
      <c r="F46" s="1">
        <v>-59</v>
      </c>
      <c r="G46" s="3">
        <f t="shared" si="11"/>
        <v>117</v>
      </c>
      <c r="I46" s="2">
        <v>59</v>
      </c>
      <c r="J46" s="3">
        <f t="shared" si="8"/>
        <v>154.66346153846155</v>
      </c>
      <c r="K46" s="6">
        <f t="shared" si="12"/>
        <v>186</v>
      </c>
      <c r="O46" s="54">
        <v>7.1999999999999995E-2</v>
      </c>
      <c r="P46" s="9">
        <v>0.03</v>
      </c>
      <c r="R46" s="10">
        <v>210</v>
      </c>
      <c r="S46" s="11">
        <v>52</v>
      </c>
      <c r="T46" s="12">
        <v>2000</v>
      </c>
      <c r="V46" s="7">
        <v>0</v>
      </c>
      <c r="W46" s="13" t="e">
        <f t="shared" si="13"/>
        <v>#DIV/0!</v>
      </c>
      <c r="Z46" s="13" t="e">
        <f t="shared" si="14"/>
        <v>#DIV/0!</v>
      </c>
      <c r="AB46" s="72">
        <v>75</v>
      </c>
      <c r="AI46" s="2">
        <v>400</v>
      </c>
      <c r="AJ46" s="7">
        <f t="shared" si="15"/>
        <v>8.3999999999999991E-2</v>
      </c>
      <c r="AK46" s="8">
        <f t="shared" si="16"/>
        <v>-1.1999999999999997E-2</v>
      </c>
      <c r="AL46" s="56">
        <f t="shared" si="17"/>
        <v>2.0799999999999999E-2</v>
      </c>
      <c r="AM46" s="9">
        <f t="shared" si="18"/>
        <v>9.1999999999999998E-3</v>
      </c>
    </row>
    <row r="47" spans="1:63" s="27" customFormat="1" thickTop="1" thickBot="1" x14ac:dyDescent="0.3">
      <c r="A47" s="21">
        <v>126</v>
      </c>
      <c r="B47" s="22">
        <v>13</v>
      </c>
      <c r="C47" s="22">
        <v>6</v>
      </c>
      <c r="D47" s="23"/>
      <c r="E47" s="24">
        <v>58</v>
      </c>
      <c r="F47" s="24">
        <v>-59</v>
      </c>
      <c r="G47" s="25">
        <f t="shared" si="11"/>
        <v>117</v>
      </c>
      <c r="H47" s="23"/>
      <c r="I47" s="22">
        <v>107</v>
      </c>
      <c r="J47" s="3">
        <f t="shared" si="8"/>
        <v>152.35576923076923</v>
      </c>
      <c r="K47" s="26">
        <f t="shared" si="12"/>
        <v>186</v>
      </c>
      <c r="L47" s="23"/>
      <c r="N47" s="23"/>
      <c r="O47" s="28">
        <v>6.9000000000000006E-2</v>
      </c>
      <c r="P47" s="29">
        <v>1.4999999999999999E-2</v>
      </c>
      <c r="Q47" s="23"/>
      <c r="R47" s="30">
        <v>69</v>
      </c>
      <c r="S47" s="31">
        <v>12</v>
      </c>
      <c r="T47" s="32">
        <v>1000</v>
      </c>
      <c r="U47" s="23"/>
      <c r="V47" s="33">
        <v>80</v>
      </c>
      <c r="W47" s="75">
        <f t="shared" si="13"/>
        <v>18.027756377319946</v>
      </c>
      <c r="X47" s="5"/>
      <c r="Y47" s="56"/>
      <c r="Z47" s="13" t="e">
        <f t="shared" si="14"/>
        <v>#DIV/0!</v>
      </c>
      <c r="AB47" s="27">
        <v>10</v>
      </c>
      <c r="AD47" s="5"/>
      <c r="AE47" s="28"/>
      <c r="AF47" s="3"/>
      <c r="AH47" s="5"/>
      <c r="AI47" s="2">
        <v>600</v>
      </c>
      <c r="AJ47" s="7">
        <f t="shared" si="15"/>
        <v>4.1399999999999999E-2</v>
      </c>
      <c r="AK47" s="8">
        <f t="shared" si="16"/>
        <v>2.7600000000000006E-2</v>
      </c>
      <c r="AL47" s="56">
        <f t="shared" si="17"/>
        <v>7.1999999999999998E-3</v>
      </c>
      <c r="AM47" s="9">
        <f t="shared" si="18"/>
        <v>7.7999999999999996E-3</v>
      </c>
      <c r="AN47" s="5"/>
      <c r="AO47" s="91"/>
      <c r="AP47" s="5"/>
      <c r="AQ47" s="96"/>
      <c r="AR47" s="5"/>
      <c r="AS47" s="30"/>
      <c r="AT47" s="31"/>
      <c r="AU47" s="32"/>
      <c r="BK47" s="5"/>
    </row>
    <row r="48" spans="1:63" thickTop="1" thickBot="1" x14ac:dyDescent="0.3">
      <c r="A48" s="15">
        <v>166</v>
      </c>
      <c r="B48" s="16">
        <v>19</v>
      </c>
      <c r="C48" s="16">
        <v>6</v>
      </c>
      <c r="D48" s="17"/>
      <c r="E48" s="1">
        <v>63</v>
      </c>
      <c r="F48" s="1">
        <v>-55</v>
      </c>
      <c r="G48" s="18">
        <f t="shared" si="11"/>
        <v>118</v>
      </c>
      <c r="H48" s="17"/>
      <c r="I48" s="16">
        <v>10</v>
      </c>
      <c r="J48" s="3">
        <f>225-5.625*(B48-0.5-(I48-0.5*G48)/G48)</f>
        <v>118.60169491525424</v>
      </c>
      <c r="K48" s="20">
        <f t="shared" si="12"/>
        <v>186</v>
      </c>
      <c r="L48" s="17"/>
      <c r="N48" s="17"/>
      <c r="O48" s="8">
        <v>5.5E-2</v>
      </c>
      <c r="P48" s="9">
        <v>0.01</v>
      </c>
      <c r="Q48" s="17"/>
      <c r="R48" s="10">
        <v>38</v>
      </c>
      <c r="S48" s="11">
        <v>9</v>
      </c>
      <c r="T48" s="12">
        <v>1000</v>
      </c>
      <c r="U48" s="17"/>
      <c r="W48" s="13" t="e">
        <f t="shared" si="13"/>
        <v>#DIV/0!</v>
      </c>
      <c r="Z48" s="13" t="e">
        <f t="shared" si="14"/>
        <v>#DIV/0!</v>
      </c>
      <c r="AB48" s="72">
        <v>20</v>
      </c>
      <c r="AE48" s="8">
        <f>(O48*AB48+O49*AB49+O50*AB50)/100</f>
        <v>0.26690000000000003</v>
      </c>
      <c r="AF48" s="3">
        <f>225-5.625*($B48-0.5)</f>
        <v>120.9375</v>
      </c>
      <c r="AG48">
        <f>K48</f>
        <v>186</v>
      </c>
      <c r="AI48" s="2">
        <v>600</v>
      </c>
      <c r="AJ48" s="7">
        <f t="shared" si="15"/>
        <v>2.2799999999999997E-2</v>
      </c>
      <c r="AK48" s="8">
        <f t="shared" si="16"/>
        <v>3.2200000000000006E-2</v>
      </c>
      <c r="AL48" s="56">
        <f t="shared" si="17"/>
        <v>5.3999999999999994E-3</v>
      </c>
      <c r="AM48" s="9">
        <f t="shared" si="18"/>
        <v>4.6000000000000008E-3</v>
      </c>
      <c r="AO48" s="90">
        <f>($AB48*AK48+$AB49*AK49+$AB50*AK50)/100</f>
        <v>5.6615000000000047E-2</v>
      </c>
      <c r="AQ48" s="95">
        <f>($AB48*AM48+$AB49*AM49+$AB50*AM50)/100</f>
        <v>2.1950000000000025E-3</v>
      </c>
      <c r="AS48" s="10">
        <f>($AB48*R48+$AB49*R49+$AB50*R50)/100</f>
        <v>194.95</v>
      </c>
      <c r="AT48" s="11">
        <f>($AB48*S48+$AB49*S49+$AB50*S50)/100</f>
        <v>39.6</v>
      </c>
      <c r="AU48" s="12">
        <f>($AB48*T48+$AB49*T49+$AB50*T50)/100</f>
        <v>1787.5</v>
      </c>
    </row>
    <row r="49" spans="1:63" thickTop="1" thickBot="1" x14ac:dyDescent="0.3">
      <c r="A49" s="4">
        <v>166</v>
      </c>
      <c r="B49" s="2">
        <v>19</v>
      </c>
      <c r="C49" s="2">
        <v>6</v>
      </c>
      <c r="E49" s="1">
        <v>63</v>
      </c>
      <c r="F49" s="1">
        <v>-55</v>
      </c>
      <c r="G49" s="3">
        <f t="shared" si="11"/>
        <v>118</v>
      </c>
      <c r="I49" s="2">
        <v>59</v>
      </c>
      <c r="J49" s="3">
        <f>225-5.625*(B49-0.5-(I49-0.5*G49)/G49)</f>
        <v>120.9375</v>
      </c>
      <c r="K49" s="6">
        <f t="shared" si="12"/>
        <v>186</v>
      </c>
      <c r="O49" s="8">
        <v>0.33500000000000002</v>
      </c>
      <c r="P49" s="9">
        <v>5.2999999999999999E-2</v>
      </c>
      <c r="R49" s="10">
        <v>245</v>
      </c>
      <c r="S49" s="11">
        <v>47</v>
      </c>
      <c r="T49" s="12">
        <v>2000</v>
      </c>
      <c r="W49" s="13" t="e">
        <f t="shared" si="13"/>
        <v>#DIV/0!</v>
      </c>
      <c r="Z49" s="13" t="e">
        <f t="shared" si="14"/>
        <v>#DIV/0!</v>
      </c>
      <c r="AB49" s="72">
        <v>75</v>
      </c>
      <c r="AI49" s="2">
        <v>1100</v>
      </c>
      <c r="AJ49" s="7">
        <f t="shared" si="15"/>
        <v>0.26949999999999996</v>
      </c>
      <c r="AK49" s="8">
        <f t="shared" si="16"/>
        <v>6.5500000000000058E-2</v>
      </c>
      <c r="AL49" s="56">
        <f t="shared" si="17"/>
        <v>5.1699999999999996E-2</v>
      </c>
      <c r="AM49" s="9">
        <f t="shared" si="18"/>
        <v>1.3000000000000025E-3</v>
      </c>
    </row>
    <row r="50" spans="1:63" s="27" customFormat="1" thickTop="1" thickBot="1" x14ac:dyDescent="0.3">
      <c r="A50" s="21">
        <v>166</v>
      </c>
      <c r="B50" s="22">
        <v>19</v>
      </c>
      <c r="C50" s="22">
        <v>6</v>
      </c>
      <c r="D50" s="23"/>
      <c r="E50" s="24">
        <v>63</v>
      </c>
      <c r="F50" s="24">
        <v>-55</v>
      </c>
      <c r="G50" s="25">
        <f t="shared" si="11"/>
        <v>118</v>
      </c>
      <c r="H50" s="23"/>
      <c r="I50" s="86">
        <v>108</v>
      </c>
      <c r="J50" s="3">
        <f>225-5.625*(B50-0.5-(I50-0.5*G50)/G50)</f>
        <v>123.27330508474576</v>
      </c>
      <c r="K50" s="26">
        <f t="shared" si="12"/>
        <v>186</v>
      </c>
      <c r="L50" s="23"/>
      <c r="N50" s="23"/>
      <c r="O50" s="28">
        <v>9.2999999999999999E-2</v>
      </c>
      <c r="P50" s="29">
        <v>5.7000000000000002E-2</v>
      </c>
      <c r="Q50" s="23"/>
      <c r="R50" s="30">
        <v>72</v>
      </c>
      <c r="S50" s="31">
        <v>51</v>
      </c>
      <c r="T50" s="32">
        <v>1750</v>
      </c>
      <c r="U50" s="23"/>
      <c r="V50" s="33"/>
      <c r="W50" s="75" t="e">
        <f t="shared" si="13"/>
        <v>#DIV/0!</v>
      </c>
      <c r="X50" s="5"/>
      <c r="Y50" s="56"/>
      <c r="Z50" s="13" t="e">
        <f t="shared" si="14"/>
        <v>#DIV/0!</v>
      </c>
      <c r="AB50" s="27">
        <v>5</v>
      </c>
      <c r="AD50" s="5"/>
      <c r="AE50" s="28"/>
      <c r="AF50" s="3"/>
      <c r="AH50" s="5"/>
      <c r="AI50" s="2">
        <v>1000</v>
      </c>
      <c r="AJ50" s="7">
        <f t="shared" si="15"/>
        <v>7.1999999999999995E-2</v>
      </c>
      <c r="AK50" s="8">
        <f t="shared" si="16"/>
        <v>2.1000000000000005E-2</v>
      </c>
      <c r="AL50" s="56">
        <f t="shared" si="17"/>
        <v>5.0999999999999997E-2</v>
      </c>
      <c r="AM50" s="9">
        <f t="shared" si="18"/>
        <v>6.0000000000000053E-3</v>
      </c>
      <c r="AN50" s="5"/>
      <c r="AO50" s="91"/>
      <c r="AP50" s="5"/>
      <c r="AQ50" s="96"/>
      <c r="AR50" s="5"/>
      <c r="AS50" s="30"/>
      <c r="AT50" s="31"/>
      <c r="AU50" s="32"/>
      <c r="BK50" s="5"/>
    </row>
    <row r="51" spans="1:63" thickTop="1" thickBot="1" x14ac:dyDescent="0.3">
      <c r="A51" s="15">
        <v>225</v>
      </c>
      <c r="B51" s="16">
        <v>23</v>
      </c>
      <c r="C51" s="16">
        <v>5</v>
      </c>
      <c r="D51" s="17"/>
      <c r="E51" s="1">
        <v>136</v>
      </c>
      <c r="F51" s="1">
        <v>14</v>
      </c>
      <c r="G51" s="18">
        <f t="shared" si="11"/>
        <v>122</v>
      </c>
      <c r="H51" s="17"/>
      <c r="I51" s="19">
        <v>10</v>
      </c>
      <c r="J51" s="3">
        <f t="shared" ref="J51:J92" si="19">225-5.625*(B51-0.5+(I51-0.5*G51)/G51)</f>
        <v>100.7889344262295</v>
      </c>
      <c r="K51" s="20">
        <f t="shared" si="12"/>
        <v>174</v>
      </c>
      <c r="L51" s="17"/>
      <c r="N51" s="17"/>
      <c r="O51" s="8">
        <v>0.33300000000000002</v>
      </c>
      <c r="P51" s="9">
        <v>3.5999999999999997E-2</v>
      </c>
      <c r="Q51" s="17"/>
      <c r="R51" s="10">
        <v>187</v>
      </c>
      <c r="S51" s="11">
        <v>51</v>
      </c>
      <c r="T51" s="12">
        <v>1000</v>
      </c>
      <c r="U51" s="17"/>
      <c r="V51" s="7">
        <v>331</v>
      </c>
      <c r="W51" s="13">
        <f t="shared" si="13"/>
        <v>15.172721587195154</v>
      </c>
      <c r="Z51" s="13" t="e">
        <f t="shared" si="14"/>
        <v>#DIV/0!</v>
      </c>
      <c r="AB51">
        <f t="shared" ref="AB51:AB62" si="20">100/6</f>
        <v>16.666666666666668</v>
      </c>
      <c r="AE51" s="8">
        <f>(O51*AB51+O52*AB52+O53*AB53+O54*AB54+O55*AB55+O56*AB56)/100</f>
        <v>0.20783333333333334</v>
      </c>
      <c r="AF51" s="3">
        <f>225-5.625*($B51-0.5)</f>
        <v>98.4375</v>
      </c>
      <c r="AG51">
        <f>K51</f>
        <v>174</v>
      </c>
      <c r="AI51" s="2">
        <v>1000</v>
      </c>
      <c r="AJ51" s="7">
        <f t="shared" si="15"/>
        <v>0.187</v>
      </c>
      <c r="AK51" s="8">
        <f t="shared" si="16"/>
        <v>0.14600000000000002</v>
      </c>
      <c r="AL51" s="56">
        <f t="shared" si="17"/>
        <v>5.0999999999999997E-2</v>
      </c>
      <c r="AM51" s="9">
        <f t="shared" si="18"/>
        <v>-1.4999999999999999E-2</v>
      </c>
      <c r="AO51" s="90">
        <f>($AB51*AK51+$AB52*AK52+$AB53*AK53+$AB54*AK54+$AB55*AK55+$AB56*AK56)/100</f>
        <v>9.4833333333333367E-2</v>
      </c>
      <c r="AQ51" s="95">
        <f>($AB51*AM51+$AB52*AM52+$AB53*AM53+$AB54*AM54+$AB55*AM55+$AB56*AM56)/100</f>
        <v>1.776666666666667E-2</v>
      </c>
      <c r="AS51" s="10">
        <f>($AB51*R51+$AB52*R52+$AB53*R53+$AB54*R54+$AB55*R55+$AB56*R56)/100</f>
        <v>159.33333333333337</v>
      </c>
      <c r="AT51" s="11">
        <f>($AB51*S51+$AB52*S52+$AB53*S53+$AB54*S54+$AB55*S55+$AB56*S56)/100</f>
        <v>43.500000000000007</v>
      </c>
      <c r="AU51" s="12">
        <f>($AB51*T51+$AB52*T52+$AB53*T53+$AB54*T54+$AB55*T55+$AB56*T56)/100</f>
        <v>1083.3333333333335</v>
      </c>
    </row>
    <row r="52" spans="1:63" thickTop="1" thickBot="1" x14ac:dyDescent="0.3">
      <c r="A52" s="4">
        <v>225</v>
      </c>
      <c r="B52" s="93">
        <v>23</v>
      </c>
      <c r="C52" s="93">
        <v>5</v>
      </c>
      <c r="E52" s="1">
        <v>136</v>
      </c>
      <c r="F52" s="1">
        <v>14</v>
      </c>
      <c r="G52" s="3">
        <f t="shared" si="11"/>
        <v>122</v>
      </c>
      <c r="I52" s="2">
        <v>30</v>
      </c>
      <c r="J52" s="3">
        <f t="shared" si="19"/>
        <v>99.866803278688536</v>
      </c>
      <c r="K52" s="6">
        <f t="shared" si="12"/>
        <v>174</v>
      </c>
      <c r="O52" s="8">
        <v>0.17399999999999999</v>
      </c>
      <c r="P52" s="9">
        <v>5.8000000000000003E-2</v>
      </c>
      <c r="R52" s="10">
        <v>165</v>
      </c>
      <c r="S52" s="11">
        <v>40</v>
      </c>
      <c r="T52" s="12">
        <v>1000</v>
      </c>
      <c r="V52" s="7">
        <v>193</v>
      </c>
      <c r="W52" s="13">
        <f t="shared" si="13"/>
        <v>15.868631683374302</v>
      </c>
      <c r="Z52" s="13" t="e">
        <f t="shared" si="14"/>
        <v>#DIV/0!</v>
      </c>
      <c r="AB52">
        <f t="shared" si="20"/>
        <v>16.666666666666668</v>
      </c>
      <c r="AI52" s="2">
        <v>600</v>
      </c>
      <c r="AJ52" s="7">
        <f t="shared" si="15"/>
        <v>9.8999999999999991E-2</v>
      </c>
      <c r="AK52" s="8">
        <f t="shared" si="16"/>
        <v>7.4999999999999997E-2</v>
      </c>
      <c r="AL52" s="56">
        <f t="shared" si="17"/>
        <v>2.4E-2</v>
      </c>
      <c r="AM52" s="9">
        <f t="shared" si="18"/>
        <v>3.4000000000000002E-2</v>
      </c>
    </row>
    <row r="53" spans="1:63" thickTop="1" thickBot="1" x14ac:dyDescent="0.3">
      <c r="A53" s="4">
        <v>225</v>
      </c>
      <c r="B53" s="2">
        <v>23</v>
      </c>
      <c r="C53" s="2">
        <v>5</v>
      </c>
      <c r="E53" s="1">
        <v>136</v>
      </c>
      <c r="F53" s="1">
        <v>14</v>
      </c>
      <c r="G53" s="3">
        <f t="shared" si="11"/>
        <v>122</v>
      </c>
      <c r="I53" s="2">
        <v>50</v>
      </c>
      <c r="J53" s="3">
        <f t="shared" si="19"/>
        <v>98.944672131147541</v>
      </c>
      <c r="K53" s="6">
        <f t="shared" si="12"/>
        <v>174</v>
      </c>
      <c r="O53" s="8">
        <v>0.16700000000000001</v>
      </c>
      <c r="P53" s="9">
        <v>4.4999999999999998E-2</v>
      </c>
      <c r="R53" s="10">
        <v>163</v>
      </c>
      <c r="S53" s="11">
        <v>49</v>
      </c>
      <c r="T53" s="12">
        <v>1200</v>
      </c>
      <c r="V53" s="7">
        <v>247</v>
      </c>
      <c r="W53" s="13">
        <f t="shared" si="13"/>
        <v>15.507605552099724</v>
      </c>
      <c r="Z53" s="13" t="e">
        <f t="shared" si="14"/>
        <v>#DIV/0!</v>
      </c>
      <c r="AB53">
        <f t="shared" si="20"/>
        <v>16.666666666666668</v>
      </c>
      <c r="AI53" s="2">
        <v>600</v>
      </c>
      <c r="AJ53" s="7">
        <f t="shared" si="15"/>
        <v>9.7799999999999998E-2</v>
      </c>
      <c r="AK53" s="8">
        <f t="shared" si="16"/>
        <v>6.9200000000000012E-2</v>
      </c>
      <c r="AL53" s="56">
        <f t="shared" si="17"/>
        <v>2.9399999999999999E-2</v>
      </c>
      <c r="AM53" s="9">
        <f t="shared" si="18"/>
        <v>1.5599999999999999E-2</v>
      </c>
    </row>
    <row r="54" spans="1:63" thickTop="1" thickBot="1" x14ac:dyDescent="0.3">
      <c r="A54" s="4">
        <v>225</v>
      </c>
      <c r="B54" s="93">
        <v>23</v>
      </c>
      <c r="C54" s="93">
        <v>5</v>
      </c>
      <c r="E54" s="1">
        <v>136</v>
      </c>
      <c r="F54" s="1">
        <v>14</v>
      </c>
      <c r="G54" s="3">
        <f t="shared" si="11"/>
        <v>122</v>
      </c>
      <c r="I54" s="2">
        <v>70</v>
      </c>
      <c r="J54" s="3">
        <f t="shared" si="19"/>
        <v>98.022540983606547</v>
      </c>
      <c r="K54" s="6">
        <f t="shared" si="12"/>
        <v>174</v>
      </c>
      <c r="O54" s="8">
        <v>0.14000000000000001</v>
      </c>
      <c r="P54" s="9">
        <v>5.2999999999999999E-2</v>
      </c>
      <c r="R54" s="10">
        <v>153</v>
      </c>
      <c r="S54" s="11">
        <v>38</v>
      </c>
      <c r="T54" s="12">
        <v>900</v>
      </c>
      <c r="V54" s="7">
        <v>176</v>
      </c>
      <c r="W54" s="13">
        <f t="shared" si="13"/>
        <v>16.025547785276544</v>
      </c>
      <c r="Z54" s="13" t="e">
        <f t="shared" si="14"/>
        <v>#DIV/0!</v>
      </c>
      <c r="AB54">
        <f t="shared" si="20"/>
        <v>16.666666666666668</v>
      </c>
      <c r="AI54" s="2">
        <v>600</v>
      </c>
      <c r="AJ54" s="7">
        <f t="shared" si="15"/>
        <v>9.1799999999999993E-2</v>
      </c>
      <c r="AK54" s="8">
        <f t="shared" si="16"/>
        <v>4.8200000000000021E-2</v>
      </c>
      <c r="AL54" s="56">
        <f t="shared" si="17"/>
        <v>2.2799999999999997E-2</v>
      </c>
      <c r="AM54" s="9">
        <f t="shared" si="18"/>
        <v>3.0200000000000001E-2</v>
      </c>
    </row>
    <row r="55" spans="1:63" thickTop="1" thickBot="1" x14ac:dyDescent="0.3">
      <c r="A55" s="4">
        <v>225</v>
      </c>
      <c r="B55" s="93">
        <v>23</v>
      </c>
      <c r="C55" s="93">
        <v>5</v>
      </c>
      <c r="E55" s="1">
        <v>136</v>
      </c>
      <c r="F55" s="1">
        <v>14</v>
      </c>
      <c r="G55" s="3">
        <f t="shared" si="11"/>
        <v>122</v>
      </c>
      <c r="I55" s="2">
        <v>90</v>
      </c>
      <c r="J55" s="3">
        <f t="shared" si="19"/>
        <v>97.10040983606558</v>
      </c>
      <c r="K55" s="6">
        <f t="shared" si="12"/>
        <v>174</v>
      </c>
      <c r="O55" s="8">
        <v>0.193</v>
      </c>
      <c r="P55" s="9">
        <v>6.7000000000000004E-2</v>
      </c>
      <c r="R55" s="10">
        <v>140</v>
      </c>
      <c r="S55" s="11">
        <v>41</v>
      </c>
      <c r="T55" s="12">
        <v>1200</v>
      </c>
      <c r="V55" s="7">
        <v>250</v>
      </c>
      <c r="W55" s="13">
        <f t="shared" si="13"/>
        <v>15.491933384829668</v>
      </c>
      <c r="Z55" s="13" t="e">
        <f t="shared" si="14"/>
        <v>#DIV/0!</v>
      </c>
      <c r="AB55">
        <f t="shared" si="20"/>
        <v>16.666666666666668</v>
      </c>
      <c r="AI55" s="2">
        <v>600</v>
      </c>
      <c r="AJ55" s="7">
        <f t="shared" si="15"/>
        <v>8.3999999999999991E-2</v>
      </c>
      <c r="AK55" s="8">
        <f t="shared" si="16"/>
        <v>0.10900000000000001</v>
      </c>
      <c r="AL55" s="56">
        <f t="shared" si="17"/>
        <v>2.46E-2</v>
      </c>
      <c r="AM55" s="9">
        <f t="shared" si="18"/>
        <v>4.2400000000000007E-2</v>
      </c>
    </row>
    <row r="56" spans="1:63" s="27" customFormat="1" thickTop="1" thickBot="1" x14ac:dyDescent="0.3">
      <c r="A56" s="21">
        <v>225</v>
      </c>
      <c r="B56" s="22">
        <v>23</v>
      </c>
      <c r="C56" s="22">
        <v>5</v>
      </c>
      <c r="D56" s="23"/>
      <c r="E56" s="49">
        <v>136</v>
      </c>
      <c r="F56" s="50">
        <v>14</v>
      </c>
      <c r="G56" s="25">
        <f t="shared" si="11"/>
        <v>122</v>
      </c>
      <c r="H56" s="23"/>
      <c r="I56" s="22">
        <v>110</v>
      </c>
      <c r="J56" s="3">
        <f t="shared" si="19"/>
        <v>96.178278688524586</v>
      </c>
      <c r="K56" s="26">
        <f t="shared" si="12"/>
        <v>174</v>
      </c>
      <c r="L56" s="23"/>
      <c r="N56" s="23"/>
      <c r="O56" s="28">
        <v>0.24</v>
      </c>
      <c r="P56" s="29">
        <v>3.3000000000000002E-2</v>
      </c>
      <c r="Q56" s="23"/>
      <c r="R56" s="30">
        <v>148</v>
      </c>
      <c r="S56" s="31">
        <v>42</v>
      </c>
      <c r="T56" s="32">
        <v>1200</v>
      </c>
      <c r="U56" s="23"/>
      <c r="V56" s="33">
        <v>298</v>
      </c>
      <c r="W56" s="75">
        <f t="shared" si="13"/>
        <v>15.282573310142039</v>
      </c>
      <c r="X56" s="5"/>
      <c r="Y56" s="56"/>
      <c r="Z56" s="13" t="e">
        <f t="shared" si="14"/>
        <v>#DIV/0!</v>
      </c>
      <c r="AB56" s="27">
        <f t="shared" si="20"/>
        <v>16.666666666666668</v>
      </c>
      <c r="AD56" s="5"/>
      <c r="AE56" s="28"/>
      <c r="AF56" s="3"/>
      <c r="AH56" s="5"/>
      <c r="AI56" s="2">
        <v>800</v>
      </c>
      <c r="AJ56" s="7">
        <f t="shared" si="15"/>
        <v>0.11839999999999999</v>
      </c>
      <c r="AK56" s="8">
        <f t="shared" si="16"/>
        <v>0.1216</v>
      </c>
      <c r="AL56" s="56">
        <f t="shared" si="17"/>
        <v>3.3599999999999998E-2</v>
      </c>
      <c r="AM56" s="9">
        <f t="shared" si="18"/>
        <v>-5.9999999999999637E-4</v>
      </c>
      <c r="AN56" s="5"/>
      <c r="AO56" s="91"/>
      <c r="AP56" s="5"/>
      <c r="AQ56" s="96"/>
      <c r="AR56" s="5"/>
      <c r="AS56" s="30"/>
      <c r="AT56" s="31"/>
      <c r="AU56" s="32"/>
      <c r="BK56" s="5"/>
    </row>
    <row r="57" spans="1:63" thickTop="1" thickBot="1" x14ac:dyDescent="0.3">
      <c r="A57" s="15">
        <v>235</v>
      </c>
      <c r="B57" s="16">
        <v>24</v>
      </c>
      <c r="C57" s="16">
        <v>5</v>
      </c>
      <c r="D57" s="17"/>
      <c r="E57" s="1">
        <v>133</v>
      </c>
      <c r="F57" s="1">
        <v>11</v>
      </c>
      <c r="G57" s="18">
        <f t="shared" si="11"/>
        <v>122</v>
      </c>
      <c r="H57" s="17"/>
      <c r="I57" s="16">
        <v>10</v>
      </c>
      <c r="J57" s="3">
        <f t="shared" ref="J57:J62" si="21">225-5.625*(B57-0.5-(I57-0.5*G57)/G57)</f>
        <v>90.461065573770497</v>
      </c>
      <c r="K57" s="20">
        <f t="shared" si="12"/>
        <v>174</v>
      </c>
      <c r="L57" s="17"/>
      <c r="N57" s="17"/>
      <c r="O57" s="8">
        <v>0.159</v>
      </c>
      <c r="P57" s="9">
        <v>1.4E-2</v>
      </c>
      <c r="Q57" s="17"/>
      <c r="R57" s="10">
        <v>405</v>
      </c>
      <c r="S57" s="11">
        <v>17</v>
      </c>
      <c r="T57" s="12">
        <v>2070</v>
      </c>
      <c r="U57" s="17"/>
      <c r="V57" s="7">
        <v>0</v>
      </c>
      <c r="W57" s="13" t="e">
        <f t="shared" si="13"/>
        <v>#DIV/0!</v>
      </c>
      <c r="Z57" s="13" t="e">
        <f t="shared" si="14"/>
        <v>#DIV/0!</v>
      </c>
      <c r="AB57">
        <f t="shared" si="20"/>
        <v>16.666666666666668</v>
      </c>
      <c r="AE57" s="8">
        <f>(O57*AB57+O58*AB58+O59*AB59+O60*AB60+O61*AB61+O62*AB62)/100</f>
        <v>0.22616666666666671</v>
      </c>
      <c r="AF57" s="3">
        <f>225-5.625*($B57-0.5)</f>
        <v>92.8125</v>
      </c>
      <c r="AG57">
        <f>K57</f>
        <v>174</v>
      </c>
      <c r="AI57" s="2">
        <v>600</v>
      </c>
      <c r="AJ57" s="7">
        <f t="shared" si="15"/>
        <v>0.24299999999999999</v>
      </c>
      <c r="AK57" s="8">
        <f t="shared" si="16"/>
        <v>-8.3999999999999991E-2</v>
      </c>
      <c r="AL57" s="56">
        <f t="shared" si="17"/>
        <v>1.0199999999999999E-2</v>
      </c>
      <c r="AM57" s="9">
        <f t="shared" si="18"/>
        <v>3.8000000000000013E-3</v>
      </c>
      <c r="AO57" s="90">
        <f>($AB57*AK57+$AB58*AK58+$AB59*AK59+$AB60*AK60+$AB61*AK61+$AB62*AK62)/100</f>
        <v>6.8966666666666676E-2</v>
      </c>
      <c r="AQ57" s="95">
        <f>($AB57*AM57+$AB58*AM58+$AB59*AM59+$AB60*AM60+$AB61*AM61+$AB62*AM62)/100</f>
        <v>1.6100000000000003E-2</v>
      </c>
      <c r="AS57" s="10">
        <f>($AB57*R57+$AB58*R58+$AB59*R59+$AB60*R60+$AB61*R61+$AB62*R62)/100</f>
        <v>247.66666666666669</v>
      </c>
      <c r="AT57" s="11">
        <f>($AB57*S57+$AB58*S58+$AB59*S59+$AB60*S60+$AB61*S61+$AB62*S62)/100</f>
        <v>39.000000000000007</v>
      </c>
      <c r="AU57" s="12">
        <f>($AB57*T57+$AB58*T58+$AB59*T59+$AB60*T60+$AB61*T61+$AB62*T62)/100</f>
        <v>1495.0000000000002</v>
      </c>
    </row>
    <row r="58" spans="1:63" thickTop="1" thickBot="1" x14ac:dyDescent="0.3">
      <c r="A58" s="4">
        <v>235</v>
      </c>
      <c r="B58" s="93">
        <v>24</v>
      </c>
      <c r="C58" s="93">
        <v>5</v>
      </c>
      <c r="E58" s="1">
        <v>133</v>
      </c>
      <c r="F58" s="1">
        <v>11</v>
      </c>
      <c r="G58" s="3">
        <f t="shared" si="11"/>
        <v>122</v>
      </c>
      <c r="I58" s="2">
        <v>30</v>
      </c>
      <c r="J58" s="3">
        <f t="shared" si="21"/>
        <v>91.383196721311464</v>
      </c>
      <c r="K58" s="6">
        <f t="shared" si="12"/>
        <v>174</v>
      </c>
      <c r="O58" s="8">
        <v>0.184</v>
      </c>
      <c r="P58" s="9">
        <v>4.1000000000000002E-2</v>
      </c>
      <c r="R58" s="10">
        <v>205</v>
      </c>
      <c r="S58" s="11">
        <v>44</v>
      </c>
      <c r="T58" s="12">
        <v>1100</v>
      </c>
      <c r="V58" s="7">
        <v>220</v>
      </c>
      <c r="W58" s="13">
        <f t="shared" si="13"/>
        <v>15.666989036012808</v>
      </c>
      <c r="Z58" s="13" t="e">
        <f t="shared" si="14"/>
        <v>#DIV/0!</v>
      </c>
      <c r="AB58">
        <f t="shared" si="20"/>
        <v>16.666666666666668</v>
      </c>
      <c r="AI58" s="2">
        <v>600</v>
      </c>
      <c r="AJ58" s="7">
        <f t="shared" si="15"/>
        <v>0.123</v>
      </c>
      <c r="AK58" s="8">
        <f t="shared" si="16"/>
        <v>6.0999999999999999E-2</v>
      </c>
      <c r="AL58" s="56">
        <f t="shared" si="17"/>
        <v>2.64E-2</v>
      </c>
      <c r="AM58" s="9">
        <f t="shared" si="18"/>
        <v>1.4600000000000002E-2</v>
      </c>
    </row>
    <row r="59" spans="1:63" thickTop="1" thickBot="1" x14ac:dyDescent="0.3">
      <c r="A59" s="4">
        <v>235</v>
      </c>
      <c r="B59" s="2">
        <v>24</v>
      </c>
      <c r="C59" s="2">
        <v>5</v>
      </c>
      <c r="E59" s="1">
        <v>133</v>
      </c>
      <c r="F59" s="1">
        <v>11</v>
      </c>
      <c r="G59" s="3">
        <f t="shared" si="11"/>
        <v>122</v>
      </c>
      <c r="I59" s="2">
        <v>50</v>
      </c>
      <c r="J59" s="3">
        <f t="shared" si="21"/>
        <v>92.305327868852459</v>
      </c>
      <c r="K59" s="6">
        <f t="shared" si="12"/>
        <v>174</v>
      </c>
      <c r="O59" s="8">
        <v>0.22800000000000001</v>
      </c>
      <c r="P59" s="9">
        <v>4.1000000000000002E-2</v>
      </c>
      <c r="R59" s="10">
        <v>240</v>
      </c>
      <c r="S59" s="11">
        <v>36</v>
      </c>
      <c r="T59" s="12">
        <v>1200</v>
      </c>
      <c r="V59" s="7">
        <v>295</v>
      </c>
      <c r="W59" s="13">
        <f t="shared" si="13"/>
        <v>15.293734177261802</v>
      </c>
      <c r="Z59" s="13" t="e">
        <f t="shared" si="14"/>
        <v>#DIV/0!</v>
      </c>
      <c r="AB59">
        <f t="shared" si="20"/>
        <v>16.666666666666668</v>
      </c>
      <c r="AI59" s="2">
        <v>600</v>
      </c>
      <c r="AJ59" s="7">
        <f t="shared" si="15"/>
        <v>0.14399999999999999</v>
      </c>
      <c r="AK59" s="8">
        <f t="shared" si="16"/>
        <v>8.4000000000000019E-2</v>
      </c>
      <c r="AL59" s="56">
        <f t="shared" si="17"/>
        <v>2.1599999999999998E-2</v>
      </c>
      <c r="AM59" s="9">
        <f t="shared" si="18"/>
        <v>1.9400000000000004E-2</v>
      </c>
    </row>
    <row r="60" spans="1:63" thickTop="1" thickBot="1" x14ac:dyDescent="0.3">
      <c r="A60" s="4">
        <v>235</v>
      </c>
      <c r="B60" s="93">
        <v>24</v>
      </c>
      <c r="C60" s="93">
        <v>5</v>
      </c>
      <c r="E60" s="1">
        <v>133</v>
      </c>
      <c r="F60" s="1">
        <v>11</v>
      </c>
      <c r="G60" s="3">
        <f t="shared" si="11"/>
        <v>122</v>
      </c>
      <c r="I60" s="2">
        <v>70</v>
      </c>
      <c r="J60" s="3">
        <f t="shared" si="21"/>
        <v>93.227459016393453</v>
      </c>
      <c r="K60" s="6">
        <f t="shared" si="12"/>
        <v>174</v>
      </c>
      <c r="O60" s="8">
        <v>0.252</v>
      </c>
      <c r="P60" s="9">
        <v>5.5E-2</v>
      </c>
      <c r="R60" s="10">
        <v>184</v>
      </c>
      <c r="S60" s="11">
        <v>36</v>
      </c>
      <c r="T60" s="12">
        <v>1100</v>
      </c>
      <c r="V60" s="7">
        <v>237</v>
      </c>
      <c r="W60" s="13">
        <f t="shared" si="13"/>
        <v>15.562586315487675</v>
      </c>
      <c r="Z60" s="13" t="e">
        <f t="shared" si="14"/>
        <v>#DIV/0!</v>
      </c>
      <c r="AB60">
        <f t="shared" si="20"/>
        <v>16.666666666666668</v>
      </c>
      <c r="AI60" s="2">
        <v>800</v>
      </c>
      <c r="AJ60" s="7">
        <f t="shared" si="15"/>
        <v>0.1472</v>
      </c>
      <c r="AK60" s="8">
        <f t="shared" si="16"/>
        <v>0.1048</v>
      </c>
      <c r="AL60" s="56">
        <f t="shared" si="17"/>
        <v>2.8799999999999999E-2</v>
      </c>
      <c r="AM60" s="9">
        <f t="shared" si="18"/>
        <v>2.6200000000000001E-2</v>
      </c>
    </row>
    <row r="61" spans="1:63" thickTop="1" thickBot="1" x14ac:dyDescent="0.3">
      <c r="A61" s="4">
        <v>235</v>
      </c>
      <c r="B61" s="93">
        <v>24</v>
      </c>
      <c r="C61" s="93">
        <v>5</v>
      </c>
      <c r="E61" s="1">
        <v>133</v>
      </c>
      <c r="F61" s="1">
        <v>11</v>
      </c>
      <c r="G61" s="3">
        <f t="shared" si="11"/>
        <v>122</v>
      </c>
      <c r="I61" s="2">
        <v>90</v>
      </c>
      <c r="J61" s="3">
        <f t="shared" si="21"/>
        <v>94.14959016393442</v>
      </c>
      <c r="K61" s="6">
        <f t="shared" si="12"/>
        <v>174</v>
      </c>
      <c r="O61" s="8">
        <v>0.26600000000000001</v>
      </c>
      <c r="P61" s="9">
        <v>7.4999999999999997E-2</v>
      </c>
      <c r="R61" s="10">
        <v>200</v>
      </c>
      <c r="S61" s="11">
        <v>53</v>
      </c>
      <c r="T61" s="12">
        <v>1200</v>
      </c>
      <c r="V61" s="7">
        <v>292</v>
      </c>
      <c r="W61" s="13">
        <f t="shared" si="13"/>
        <v>15.305115985920063</v>
      </c>
      <c r="Z61" s="13" t="e">
        <f t="shared" si="14"/>
        <v>#DIV/0!</v>
      </c>
      <c r="AB61">
        <f t="shared" si="20"/>
        <v>16.666666666666668</v>
      </c>
      <c r="AI61" s="2">
        <v>800</v>
      </c>
      <c r="AJ61" s="7">
        <f t="shared" si="15"/>
        <v>0.16</v>
      </c>
      <c r="AK61" s="8">
        <f t="shared" si="16"/>
        <v>0.10600000000000001</v>
      </c>
      <c r="AL61" s="56">
        <f t="shared" si="17"/>
        <v>4.24E-2</v>
      </c>
      <c r="AM61" s="9">
        <f t="shared" si="18"/>
        <v>3.2599999999999997E-2</v>
      </c>
    </row>
    <row r="62" spans="1:63" s="27" customFormat="1" thickTop="1" thickBot="1" x14ac:dyDescent="0.3">
      <c r="A62" s="21">
        <v>235</v>
      </c>
      <c r="B62" s="22">
        <v>24</v>
      </c>
      <c r="C62" s="22">
        <v>5</v>
      </c>
      <c r="D62" s="23"/>
      <c r="E62" s="49">
        <v>133</v>
      </c>
      <c r="F62" s="50">
        <v>11</v>
      </c>
      <c r="G62" s="25">
        <f t="shared" si="11"/>
        <v>122</v>
      </c>
      <c r="H62" s="23"/>
      <c r="I62" s="86">
        <v>110</v>
      </c>
      <c r="J62" s="3">
        <f t="shared" si="21"/>
        <v>95.071721311475414</v>
      </c>
      <c r="K62" s="26">
        <f t="shared" si="12"/>
        <v>174</v>
      </c>
      <c r="L62" s="23"/>
      <c r="N62" s="23"/>
      <c r="O62" s="28">
        <v>0.26800000000000002</v>
      </c>
      <c r="P62" s="29">
        <v>2.4E-2</v>
      </c>
      <c r="Q62" s="23"/>
      <c r="R62" s="30">
        <v>252</v>
      </c>
      <c r="S62" s="31">
        <v>48</v>
      </c>
      <c r="T62" s="32">
        <v>2300</v>
      </c>
      <c r="U62" s="23"/>
      <c r="V62" s="33">
        <v>299</v>
      </c>
      <c r="W62" s="75">
        <f t="shared" si="13"/>
        <v>15.278901009349847</v>
      </c>
      <c r="X62" s="5"/>
      <c r="Y62" s="56"/>
      <c r="Z62" s="13" t="e">
        <f t="shared" si="14"/>
        <v>#DIV/0!</v>
      </c>
      <c r="AB62" s="27">
        <f t="shared" si="20"/>
        <v>16.666666666666668</v>
      </c>
      <c r="AD62" s="5"/>
      <c r="AE62" s="28"/>
      <c r="AF62" s="3"/>
      <c r="AH62" s="5"/>
      <c r="AI62" s="2">
        <v>500</v>
      </c>
      <c r="AJ62" s="7">
        <f t="shared" si="15"/>
        <v>0.126</v>
      </c>
      <c r="AK62" s="8">
        <f t="shared" si="16"/>
        <v>0.14200000000000002</v>
      </c>
      <c r="AL62" s="56">
        <f t="shared" si="17"/>
        <v>2.4E-2</v>
      </c>
      <c r="AM62" s="9">
        <f t="shared" si="18"/>
        <v>0</v>
      </c>
      <c r="AN62" s="5"/>
      <c r="AO62" s="91"/>
      <c r="AP62" s="5"/>
      <c r="AQ62" s="96"/>
      <c r="AR62" s="5"/>
      <c r="AS62" s="30"/>
      <c r="AT62" s="31"/>
      <c r="AU62" s="32"/>
      <c r="BK62" s="5"/>
    </row>
    <row r="63" spans="1:63" thickTop="1" thickBot="1" x14ac:dyDescent="0.3">
      <c r="A63" s="15">
        <v>295</v>
      </c>
      <c r="B63" s="16">
        <v>28</v>
      </c>
      <c r="C63" s="16">
        <v>5</v>
      </c>
      <c r="D63" s="17"/>
      <c r="E63" s="1">
        <v>138</v>
      </c>
      <c r="F63" s="1">
        <v>17</v>
      </c>
      <c r="G63" s="18">
        <f t="shared" si="11"/>
        <v>121</v>
      </c>
      <c r="H63" s="17"/>
      <c r="I63" s="19">
        <v>10</v>
      </c>
      <c r="J63" s="3">
        <f t="shared" si="19"/>
        <v>72.660123966942137</v>
      </c>
      <c r="K63" s="20">
        <f t="shared" si="12"/>
        <v>174</v>
      </c>
      <c r="L63" s="17"/>
      <c r="N63" s="17"/>
      <c r="O63" s="8">
        <v>0.34</v>
      </c>
      <c r="P63" s="9">
        <v>4.2999999999999997E-2</v>
      </c>
      <c r="Q63" s="17"/>
      <c r="R63" s="10">
        <v>268</v>
      </c>
      <c r="S63" s="11">
        <v>52</v>
      </c>
      <c r="T63" s="12">
        <v>1450</v>
      </c>
      <c r="U63" s="17"/>
      <c r="V63" s="7">
        <v>718</v>
      </c>
      <c r="W63" s="13">
        <f t="shared" si="13"/>
        <v>14.626263248064125</v>
      </c>
      <c r="Z63" s="13" t="e">
        <f t="shared" si="14"/>
        <v>#DIV/0!</v>
      </c>
      <c r="AB63">
        <v>10</v>
      </c>
      <c r="AE63" s="8">
        <f>(O63*AB63+O64*AB64+O65*AB65)/100</f>
        <v>0.31929999999999997</v>
      </c>
      <c r="AF63" s="3">
        <f>225-5.625*($B63-0.5)</f>
        <v>70.3125</v>
      </c>
      <c r="AG63">
        <f>K63</f>
        <v>174</v>
      </c>
      <c r="AI63" s="2">
        <v>500</v>
      </c>
      <c r="AJ63" s="7">
        <f t="shared" si="15"/>
        <v>0.13399999999999998</v>
      </c>
      <c r="AK63" s="8">
        <f t="shared" si="16"/>
        <v>0.20600000000000004</v>
      </c>
      <c r="AL63" s="56">
        <f t="shared" si="17"/>
        <v>2.5999999999999999E-2</v>
      </c>
      <c r="AM63" s="9">
        <f t="shared" si="18"/>
        <v>1.6999999999999998E-2</v>
      </c>
      <c r="AO63" s="90">
        <f>($AB63*AK63+$AB64*AK64+$AB65*AK65)/100</f>
        <v>0.17113</v>
      </c>
      <c r="AQ63" s="95">
        <f>($AB63*AM63+$AB64*AM64+$AB65*AM65)/100</f>
        <v>2.904E-2</v>
      </c>
      <c r="AS63" s="10">
        <f>($AB63*R63+$AB64*R64+$AB65*R65)/100</f>
        <v>219.9</v>
      </c>
      <c r="AT63" s="11">
        <f>($AB63*S63+$AB64*S64+$AB65*S65)/100</f>
        <v>54.6</v>
      </c>
      <c r="AU63" s="12">
        <f>($AB63*T63+$AB64*T64+$AB65*T65)/100</f>
        <v>1035</v>
      </c>
    </row>
    <row r="64" spans="1:63" thickTop="1" thickBot="1" x14ac:dyDescent="0.3">
      <c r="A64" s="4">
        <v>295</v>
      </c>
      <c r="B64" s="93">
        <v>28</v>
      </c>
      <c r="C64" s="93">
        <v>5</v>
      </c>
      <c r="E64" s="1">
        <v>138</v>
      </c>
      <c r="F64" s="1">
        <v>17</v>
      </c>
      <c r="G64" s="3">
        <f t="shared" si="11"/>
        <v>121</v>
      </c>
      <c r="I64" s="2">
        <v>61</v>
      </c>
      <c r="J64" s="3">
        <f t="shared" si="19"/>
        <v>70.28925619834709</v>
      </c>
      <c r="K64" s="6">
        <f t="shared" si="12"/>
        <v>174</v>
      </c>
      <c r="O64" s="8">
        <v>0.35699999999999998</v>
      </c>
      <c r="P64" s="9">
        <v>7.3999999999999996E-2</v>
      </c>
      <c r="R64" s="10">
        <v>273</v>
      </c>
      <c r="S64" s="11">
        <v>44</v>
      </c>
      <c r="T64" s="12">
        <v>900</v>
      </c>
      <c r="V64" s="7">
        <v>639</v>
      </c>
      <c r="W64" s="13">
        <f t="shared" si="13"/>
        <v>14.685007738137923</v>
      </c>
      <c r="Z64" s="13" t="e">
        <f t="shared" si="14"/>
        <v>#DIV/0!</v>
      </c>
      <c r="AB64">
        <v>70</v>
      </c>
      <c r="AI64" s="2">
        <v>700</v>
      </c>
      <c r="AJ64" s="7">
        <f t="shared" si="15"/>
        <v>0.19109999999999999</v>
      </c>
      <c r="AK64" s="8">
        <f t="shared" si="16"/>
        <v>0.16589999999999999</v>
      </c>
      <c r="AL64" s="56">
        <f t="shared" si="17"/>
        <v>3.0799999999999998E-2</v>
      </c>
      <c r="AM64" s="9">
        <f t="shared" si="18"/>
        <v>4.3200000000000002E-2</v>
      </c>
    </row>
    <row r="65" spans="1:63" s="27" customFormat="1" thickTop="1" thickBot="1" x14ac:dyDescent="0.3">
      <c r="A65" s="21">
        <v>295</v>
      </c>
      <c r="B65" s="22">
        <v>28</v>
      </c>
      <c r="C65" s="22">
        <v>5</v>
      </c>
      <c r="D65" s="23"/>
      <c r="E65" s="24">
        <v>138</v>
      </c>
      <c r="F65" s="24">
        <v>17</v>
      </c>
      <c r="G65" s="25">
        <f t="shared" si="11"/>
        <v>121</v>
      </c>
      <c r="H65" s="23"/>
      <c r="I65" s="22">
        <v>111</v>
      </c>
      <c r="J65" s="3">
        <f t="shared" si="19"/>
        <v>67.964876033057863</v>
      </c>
      <c r="K65" s="26">
        <f t="shared" si="12"/>
        <v>174</v>
      </c>
      <c r="L65" s="23"/>
      <c r="N65" s="23"/>
      <c r="O65" s="28">
        <v>0.17699999999999999</v>
      </c>
      <c r="P65" s="29">
        <v>3.2000000000000001E-2</v>
      </c>
      <c r="Q65" s="23"/>
      <c r="R65" s="30">
        <v>10</v>
      </c>
      <c r="S65" s="31">
        <v>93</v>
      </c>
      <c r="T65" s="32">
        <v>1300</v>
      </c>
      <c r="U65" s="23"/>
      <c r="V65" s="33">
        <v>221</v>
      </c>
      <c r="W65" s="75">
        <f t="shared" si="13"/>
        <v>15.660423646194269</v>
      </c>
      <c r="X65" s="5"/>
      <c r="Y65" s="56"/>
      <c r="Z65" s="13" t="e">
        <f t="shared" si="14"/>
        <v>#DIV/0!</v>
      </c>
      <c r="AB65" s="27">
        <v>20</v>
      </c>
      <c r="AD65" s="5"/>
      <c r="AE65" s="28"/>
      <c r="AF65" s="3"/>
      <c r="AH65" s="5"/>
      <c r="AI65" s="2">
        <v>500</v>
      </c>
      <c r="AJ65" s="7">
        <f t="shared" si="15"/>
        <v>5.0000000000000001E-3</v>
      </c>
      <c r="AK65" s="8">
        <f t="shared" si="16"/>
        <v>0.17199999999999999</v>
      </c>
      <c r="AL65" s="56">
        <f t="shared" si="17"/>
        <v>4.65E-2</v>
      </c>
      <c r="AM65" s="9">
        <f t="shared" si="18"/>
        <v>-1.4499999999999999E-2</v>
      </c>
      <c r="AN65" s="5"/>
      <c r="AO65" s="91"/>
      <c r="AP65" s="5"/>
      <c r="AQ65" s="96"/>
      <c r="AR65" s="5"/>
      <c r="AS65" s="30"/>
      <c r="AT65" s="31"/>
      <c r="AU65" s="32"/>
      <c r="BK65" s="5"/>
    </row>
    <row r="66" spans="1:63" thickTop="1" thickBot="1" x14ac:dyDescent="0.3">
      <c r="A66" s="15">
        <v>305</v>
      </c>
      <c r="B66" s="16">
        <v>29</v>
      </c>
      <c r="C66" s="16">
        <v>5</v>
      </c>
      <c r="D66" s="17"/>
      <c r="E66" s="1">
        <v>137</v>
      </c>
      <c r="F66" s="1">
        <v>8</v>
      </c>
      <c r="G66" s="18">
        <f t="shared" si="11"/>
        <v>129</v>
      </c>
      <c r="H66" s="17"/>
      <c r="I66" s="19">
        <v>10</v>
      </c>
      <c r="J66" s="3">
        <f t="shared" si="19"/>
        <v>67.063953488372078</v>
      </c>
      <c r="K66" s="20">
        <f t="shared" si="12"/>
        <v>174</v>
      </c>
      <c r="L66" s="17"/>
      <c r="N66" s="17"/>
      <c r="O66" s="8">
        <v>0.222</v>
      </c>
      <c r="P66" s="9">
        <v>0.17899999999999999</v>
      </c>
      <c r="Q66" s="17"/>
      <c r="R66" s="10">
        <v>200</v>
      </c>
      <c r="S66" s="11">
        <v>36</v>
      </c>
      <c r="T66" s="12">
        <v>1300</v>
      </c>
      <c r="U66" s="17"/>
      <c r="V66" s="7">
        <v>223</v>
      </c>
      <c r="W66" s="13">
        <f t="shared" si="13"/>
        <v>15.647461433962837</v>
      </c>
      <c r="Z66" s="13" t="e">
        <f t="shared" si="14"/>
        <v>#DIV/0!</v>
      </c>
      <c r="AB66" s="72">
        <v>10</v>
      </c>
      <c r="AE66" s="8">
        <f>(O66*AB66+O67*AB67+O68*AB68+O69*AB69+O70*AB70+O71*AB71+O72*AB72)/100</f>
        <v>0.312</v>
      </c>
      <c r="AF66" s="3">
        <f>225-5.625*($B66-0.5)</f>
        <v>64.6875</v>
      </c>
      <c r="AG66">
        <f>K66</f>
        <v>174</v>
      </c>
      <c r="AI66" s="2">
        <v>600</v>
      </c>
      <c r="AJ66" s="7">
        <f t="shared" si="15"/>
        <v>0.12</v>
      </c>
      <c r="AK66" s="8">
        <f t="shared" si="16"/>
        <v>0.10200000000000001</v>
      </c>
      <c r="AL66" s="56">
        <f t="shared" si="17"/>
        <v>2.1599999999999998E-2</v>
      </c>
      <c r="AM66" s="9">
        <f t="shared" si="18"/>
        <v>0.15739999999999998</v>
      </c>
      <c r="AO66" s="90">
        <f>($AB66*AK66+$AB67*AK67+$AB68*AK68+$AB69*AK69+$AB70*AK70+$AB71*AK71+$AB72*AK72)/100</f>
        <v>0.18770999999999996</v>
      </c>
      <c r="AQ66" s="95">
        <f>($AB66*AM66+$AB67*AM67+$AB68*AM68+$AB69*AM69+$AB70*AM70+$AB71*AM71+$AB72*AM72)/100</f>
        <v>4.4509999999999994E-2</v>
      </c>
      <c r="AS66" s="10">
        <f>($AB66*R66+$AB67*R67+$AB68*R68+$AB69*R69+$AB70*R70+$AB71*R71+$AB72*R72)/100</f>
        <v>180.8</v>
      </c>
      <c r="AT66" s="11">
        <f>($AB66*S66+$AB67*S67+$AB68*S68+$AB69*S69+$AB70*S70+$AB71*S71+$AB72*S72)/100</f>
        <v>79.650000000000006</v>
      </c>
      <c r="AU66" s="12">
        <f>($AB66*T66+$AB67*T67+$AB68*T68+$AB69*T69+$AB70*T70+$AB71*T71+$AB72*T72)/100</f>
        <v>1958.5</v>
      </c>
    </row>
    <row r="67" spans="1:63" thickTop="1" thickBot="1" x14ac:dyDescent="0.3">
      <c r="A67" s="4">
        <v>305</v>
      </c>
      <c r="B67" s="2">
        <v>29</v>
      </c>
      <c r="C67" s="2">
        <v>5</v>
      </c>
      <c r="E67" s="1">
        <v>137</v>
      </c>
      <c r="F67" s="1">
        <v>8</v>
      </c>
      <c r="G67" s="3">
        <f t="shared" si="11"/>
        <v>129</v>
      </c>
      <c r="I67" s="2">
        <v>30</v>
      </c>
      <c r="J67" s="3">
        <f t="shared" si="19"/>
        <v>66.191860465116264</v>
      </c>
      <c r="K67" s="6">
        <f t="shared" si="12"/>
        <v>174</v>
      </c>
      <c r="O67" s="8">
        <v>0.46200000000000002</v>
      </c>
      <c r="P67" s="9">
        <v>8.7999999999999995E-2</v>
      </c>
      <c r="R67" s="10">
        <v>290</v>
      </c>
      <c r="S67" s="11">
        <v>41</v>
      </c>
      <c r="T67" s="12">
        <v>1500</v>
      </c>
      <c r="V67" s="7">
        <v>348</v>
      </c>
      <c r="W67" s="13">
        <f t="shared" si="13"/>
        <v>15.124008469447114</v>
      </c>
      <c r="Z67" s="13" t="e">
        <f t="shared" si="14"/>
        <v>#DIV/0!</v>
      </c>
      <c r="AB67" s="72">
        <v>15</v>
      </c>
      <c r="AI67" s="2">
        <v>700</v>
      </c>
      <c r="AJ67" s="7">
        <f t="shared" si="15"/>
        <v>0.20299999999999999</v>
      </c>
      <c r="AK67" s="8">
        <f t="shared" si="16"/>
        <v>0.25900000000000001</v>
      </c>
      <c r="AL67" s="56">
        <f t="shared" si="17"/>
        <v>2.87E-2</v>
      </c>
      <c r="AM67" s="9">
        <f t="shared" si="18"/>
        <v>5.9299999999999992E-2</v>
      </c>
    </row>
    <row r="68" spans="1:63" thickTop="1" thickBot="1" x14ac:dyDescent="0.3">
      <c r="A68" s="4">
        <v>305</v>
      </c>
      <c r="B68" s="93">
        <v>29</v>
      </c>
      <c r="C68" s="93">
        <v>5</v>
      </c>
      <c r="E68" s="1">
        <v>137</v>
      </c>
      <c r="F68" s="1">
        <v>8</v>
      </c>
      <c r="G68" s="3">
        <f t="shared" si="11"/>
        <v>129</v>
      </c>
      <c r="I68" s="2">
        <v>50</v>
      </c>
      <c r="J68" s="3">
        <f t="shared" si="19"/>
        <v>65.319767441860449</v>
      </c>
      <c r="K68" s="6">
        <f t="shared" si="12"/>
        <v>174</v>
      </c>
      <c r="O68" s="8">
        <v>0.35</v>
      </c>
      <c r="P68" s="9">
        <v>8.3000000000000004E-2</v>
      </c>
      <c r="R68" s="10">
        <v>180</v>
      </c>
      <c r="S68" s="11">
        <v>97</v>
      </c>
      <c r="T68" s="12">
        <v>2600</v>
      </c>
      <c r="V68" s="7">
        <v>113</v>
      </c>
      <c r="W68" s="13">
        <f t="shared" si="13"/>
        <v>16.98515749768718</v>
      </c>
      <c r="Z68" s="13" t="e">
        <f t="shared" si="14"/>
        <v>#DIV/0!</v>
      </c>
      <c r="AB68" s="72">
        <v>15</v>
      </c>
      <c r="AI68" s="2">
        <v>700</v>
      </c>
      <c r="AJ68" s="7">
        <f t="shared" si="15"/>
        <v>0.126</v>
      </c>
      <c r="AK68" s="8">
        <f t="shared" si="16"/>
        <v>0.22399999999999998</v>
      </c>
      <c r="AL68" s="56">
        <f t="shared" si="17"/>
        <v>6.7900000000000002E-2</v>
      </c>
      <c r="AM68" s="9">
        <f t="shared" si="18"/>
        <v>1.5100000000000002E-2</v>
      </c>
    </row>
    <row r="69" spans="1:63" thickTop="1" thickBot="1" x14ac:dyDescent="0.3">
      <c r="A69" s="4">
        <v>305</v>
      </c>
      <c r="B69" s="93">
        <v>29</v>
      </c>
      <c r="C69" s="93">
        <v>5</v>
      </c>
      <c r="E69" s="1">
        <v>137</v>
      </c>
      <c r="F69" s="1">
        <v>8</v>
      </c>
      <c r="G69" s="3">
        <f t="shared" si="11"/>
        <v>129</v>
      </c>
      <c r="I69" s="2">
        <v>70</v>
      </c>
      <c r="J69" s="3">
        <f t="shared" si="19"/>
        <v>64.447674418604635</v>
      </c>
      <c r="K69" s="6">
        <f t="shared" si="12"/>
        <v>174</v>
      </c>
      <c r="O69" s="8">
        <v>0.14099999999999999</v>
      </c>
      <c r="P69" s="9">
        <v>0.14099999999999999</v>
      </c>
      <c r="R69" s="10">
        <v>100</v>
      </c>
      <c r="S69" s="11">
        <v>120</v>
      </c>
      <c r="T69" s="12">
        <v>3000</v>
      </c>
      <c r="V69" s="7">
        <v>55</v>
      </c>
      <c r="W69" s="13">
        <f t="shared" si="13"/>
        <v>19.540168418367891</v>
      </c>
      <c r="Z69" s="13" t="e">
        <f t="shared" si="14"/>
        <v>#DIV/0!</v>
      </c>
      <c r="AB69" s="72">
        <v>15</v>
      </c>
      <c r="AI69" s="2">
        <v>700</v>
      </c>
      <c r="AJ69" s="7">
        <f t="shared" si="15"/>
        <v>6.9999999999999993E-2</v>
      </c>
      <c r="AK69" s="8">
        <f t="shared" si="16"/>
        <v>7.0999999999999994E-2</v>
      </c>
      <c r="AL69" s="56">
        <f t="shared" si="17"/>
        <v>8.3999999999999991E-2</v>
      </c>
      <c r="AM69" s="9">
        <f t="shared" si="18"/>
        <v>5.6999999999999995E-2</v>
      </c>
    </row>
    <row r="70" spans="1:63" thickTop="1" thickBot="1" x14ac:dyDescent="0.3">
      <c r="A70" s="4">
        <v>305</v>
      </c>
      <c r="B70" s="2">
        <v>29</v>
      </c>
      <c r="C70" s="2">
        <v>5</v>
      </c>
      <c r="E70" s="1">
        <v>137</v>
      </c>
      <c r="F70" s="1">
        <v>8</v>
      </c>
      <c r="G70" s="3">
        <f t="shared" si="11"/>
        <v>129</v>
      </c>
      <c r="I70" s="2">
        <v>90</v>
      </c>
      <c r="J70" s="3">
        <f t="shared" si="19"/>
        <v>63.57558139534882</v>
      </c>
      <c r="K70" s="6">
        <f t="shared" si="12"/>
        <v>174</v>
      </c>
      <c r="O70" s="8">
        <v>0.56999999999999995</v>
      </c>
      <c r="P70" s="9">
        <v>9.1999999999999998E-2</v>
      </c>
      <c r="R70" s="10">
        <v>190</v>
      </c>
      <c r="S70" s="11">
        <v>100</v>
      </c>
      <c r="T70" s="12">
        <v>1800</v>
      </c>
      <c r="V70" s="7">
        <v>742</v>
      </c>
      <c r="W70" s="13">
        <f t="shared" si="13"/>
        <v>14.610855175135612</v>
      </c>
      <c r="Z70" s="13" t="e">
        <f t="shared" si="14"/>
        <v>#DIV/0!</v>
      </c>
      <c r="AB70" s="72">
        <v>15</v>
      </c>
      <c r="AI70" s="2">
        <v>700</v>
      </c>
      <c r="AJ70" s="7">
        <f t="shared" si="15"/>
        <v>0.13300000000000001</v>
      </c>
      <c r="AK70" s="8">
        <f t="shared" si="16"/>
        <v>0.43699999999999994</v>
      </c>
      <c r="AL70" s="56">
        <f t="shared" si="17"/>
        <v>6.9999999999999993E-2</v>
      </c>
      <c r="AM70" s="9">
        <f t="shared" si="18"/>
        <v>2.2000000000000006E-2</v>
      </c>
    </row>
    <row r="71" spans="1:63" thickTop="1" thickBot="1" x14ac:dyDescent="0.3">
      <c r="A71" s="4">
        <v>305</v>
      </c>
      <c r="B71" s="93">
        <v>29</v>
      </c>
      <c r="C71" s="93">
        <v>5</v>
      </c>
      <c r="E71" s="1">
        <v>137</v>
      </c>
      <c r="F71" s="1">
        <v>8</v>
      </c>
      <c r="G71" s="3">
        <f t="shared" si="11"/>
        <v>129</v>
      </c>
      <c r="I71" s="2">
        <v>110</v>
      </c>
      <c r="J71" s="3">
        <f t="shared" si="19"/>
        <v>62.703488372093005</v>
      </c>
      <c r="K71" s="6">
        <f t="shared" si="12"/>
        <v>174</v>
      </c>
      <c r="O71" s="8">
        <v>0.24</v>
      </c>
      <c r="P71" s="9">
        <v>0.104</v>
      </c>
      <c r="R71" s="10">
        <v>147</v>
      </c>
      <c r="S71" s="11">
        <v>101</v>
      </c>
      <c r="T71" s="12">
        <v>1100</v>
      </c>
      <c r="V71" s="7">
        <v>257</v>
      </c>
      <c r="W71" s="13">
        <f t="shared" si="13"/>
        <v>15.456730114632133</v>
      </c>
      <c r="Z71" s="13" t="e">
        <f t="shared" si="14"/>
        <v>#DIV/0!</v>
      </c>
      <c r="AB71" s="72">
        <v>15</v>
      </c>
      <c r="AI71" s="2">
        <v>800</v>
      </c>
      <c r="AJ71" s="7">
        <f t="shared" si="15"/>
        <v>0.1176</v>
      </c>
      <c r="AK71" s="8">
        <f t="shared" si="16"/>
        <v>0.12239999999999999</v>
      </c>
      <c r="AL71" s="56">
        <f t="shared" si="17"/>
        <v>8.0799999999999997E-2</v>
      </c>
      <c r="AM71" s="9">
        <f t="shared" si="18"/>
        <v>2.3199999999999998E-2</v>
      </c>
    </row>
    <row r="72" spans="1:63" s="27" customFormat="1" thickTop="1" thickBot="1" x14ac:dyDescent="0.3">
      <c r="A72" s="21">
        <v>305</v>
      </c>
      <c r="B72" s="22">
        <v>29</v>
      </c>
      <c r="C72" s="22">
        <v>5</v>
      </c>
      <c r="D72" s="23"/>
      <c r="E72" s="24">
        <v>137</v>
      </c>
      <c r="F72" s="24">
        <v>8</v>
      </c>
      <c r="G72" s="25">
        <f t="shared" si="11"/>
        <v>129</v>
      </c>
      <c r="H72" s="23"/>
      <c r="I72" s="22">
        <v>120</v>
      </c>
      <c r="J72" s="3">
        <f t="shared" si="19"/>
        <v>62.267441860465112</v>
      </c>
      <c r="K72" s="26">
        <f t="shared" si="12"/>
        <v>174</v>
      </c>
      <c r="L72" s="23"/>
      <c r="N72" s="23"/>
      <c r="O72" s="28">
        <v>0.16900000000000001</v>
      </c>
      <c r="P72" s="29">
        <v>4.3999999999999997E-2</v>
      </c>
      <c r="Q72" s="23"/>
      <c r="R72" s="30">
        <v>165</v>
      </c>
      <c r="S72" s="31">
        <v>48</v>
      </c>
      <c r="T72" s="32">
        <v>2190</v>
      </c>
      <c r="U72" s="23"/>
      <c r="V72" s="33">
        <v>205</v>
      </c>
      <c r="W72" s="75">
        <f t="shared" si="13"/>
        <v>15.772776794365603</v>
      </c>
      <c r="X72" s="5"/>
      <c r="Y72" s="56"/>
      <c r="Z72" s="13" t="e">
        <f t="shared" si="14"/>
        <v>#DIV/0!</v>
      </c>
      <c r="AB72" s="27">
        <v>15</v>
      </c>
      <c r="AD72" s="5"/>
      <c r="AE72" s="28"/>
      <c r="AF72" s="3"/>
      <c r="AH72" s="5"/>
      <c r="AI72" s="2">
        <v>600</v>
      </c>
      <c r="AJ72" s="7">
        <f t="shared" si="15"/>
        <v>9.8999999999999991E-2</v>
      </c>
      <c r="AK72" s="8">
        <f t="shared" si="16"/>
        <v>7.0000000000000021E-2</v>
      </c>
      <c r="AL72" s="56">
        <f t="shared" si="17"/>
        <v>2.8799999999999999E-2</v>
      </c>
      <c r="AM72" s="9">
        <f t="shared" si="18"/>
        <v>1.5199999999999998E-2</v>
      </c>
      <c r="AN72" s="5"/>
      <c r="AO72" s="91"/>
      <c r="AP72" s="5"/>
      <c r="AQ72" s="96"/>
      <c r="AR72" s="5"/>
      <c r="AS72" s="30"/>
      <c r="AT72" s="31"/>
      <c r="AU72" s="32"/>
      <c r="BK72" s="5"/>
    </row>
    <row r="73" spans="1:63" thickTop="1" thickBot="1" x14ac:dyDescent="0.3">
      <c r="A73" s="15">
        <v>375</v>
      </c>
      <c r="B73" s="16">
        <v>38</v>
      </c>
      <c r="C73" s="16">
        <v>5</v>
      </c>
      <c r="D73" s="17"/>
      <c r="E73" s="1">
        <v>132</v>
      </c>
      <c r="F73" s="1">
        <v>10</v>
      </c>
      <c r="G73" s="18">
        <f t="shared" si="11"/>
        <v>122</v>
      </c>
      <c r="H73" s="17"/>
      <c r="I73" s="19">
        <v>10</v>
      </c>
      <c r="J73" s="3">
        <f t="shared" si="19"/>
        <v>16.413934426229531</v>
      </c>
      <c r="K73" s="20">
        <f t="shared" si="12"/>
        <v>174</v>
      </c>
      <c r="L73" s="17"/>
      <c r="N73" s="17"/>
      <c r="O73" s="8">
        <v>0.61</v>
      </c>
      <c r="P73" s="9">
        <v>5.0999999999999997E-2</v>
      </c>
      <c r="Q73" s="17"/>
      <c r="R73" s="10">
        <v>116</v>
      </c>
      <c r="S73" s="11">
        <v>12</v>
      </c>
      <c r="T73" s="12">
        <v>550</v>
      </c>
      <c r="U73" s="17"/>
      <c r="V73" s="7">
        <v>1392</v>
      </c>
      <c r="W73" s="13">
        <f t="shared" si="13"/>
        <v>14.393884397409096</v>
      </c>
      <c r="Z73" s="13" t="e">
        <f t="shared" si="14"/>
        <v>#DIV/0!</v>
      </c>
      <c r="AB73" s="72">
        <v>10</v>
      </c>
      <c r="AE73" s="8">
        <f>(O73*AB73+O74*AB74+O75*AB75)/100</f>
        <v>0.3574</v>
      </c>
      <c r="AF73" s="3">
        <f>225-5.625*($B73-0.5)</f>
        <v>14.0625</v>
      </c>
      <c r="AG73">
        <f>K73</f>
        <v>174</v>
      </c>
      <c r="AI73" s="2">
        <v>700</v>
      </c>
      <c r="AJ73" s="7">
        <f t="shared" si="15"/>
        <v>8.1199999999999994E-2</v>
      </c>
      <c r="AK73" s="8">
        <f t="shared" si="16"/>
        <v>0.52879999999999994</v>
      </c>
      <c r="AL73" s="56">
        <f t="shared" si="17"/>
        <v>8.3999999999999995E-3</v>
      </c>
      <c r="AM73" s="9">
        <f t="shared" si="18"/>
        <v>4.2599999999999999E-2</v>
      </c>
      <c r="AO73" s="90">
        <f>($AB73*AK73+$AB74*AK74+$AB75*AK75)/100</f>
        <v>0.25142000000000003</v>
      </c>
      <c r="AQ73" s="95">
        <f>($AB73*AM73+$AB74*AM74+$AB75*AM75)/100</f>
        <v>2.019E-2</v>
      </c>
      <c r="AS73" s="10">
        <f>($AB73*R73+$AB74*R74+$AB75*R75)/100</f>
        <v>151.4</v>
      </c>
      <c r="AT73" s="11">
        <f>($AB73*S73+$AB74*S74+$AB75*S75)/100</f>
        <v>18.3</v>
      </c>
      <c r="AU73" s="12">
        <f>($AB73*T73+$AB74*T74+$AB75*T75)/100</f>
        <v>835</v>
      </c>
    </row>
    <row r="74" spans="1:63" thickTop="1" thickBot="1" x14ac:dyDescent="0.3">
      <c r="A74" s="4">
        <v>375</v>
      </c>
      <c r="B74" s="93">
        <v>38</v>
      </c>
      <c r="C74" s="93">
        <v>5</v>
      </c>
      <c r="E74" s="1">
        <v>132</v>
      </c>
      <c r="F74" s="1">
        <v>10</v>
      </c>
      <c r="G74" s="3">
        <f t="shared" si="11"/>
        <v>122</v>
      </c>
      <c r="I74" s="2">
        <v>61</v>
      </c>
      <c r="J74" s="3">
        <f t="shared" si="19"/>
        <v>14.0625</v>
      </c>
      <c r="K74" s="6">
        <f t="shared" si="12"/>
        <v>174</v>
      </c>
      <c r="O74" s="8">
        <v>0.46200000000000002</v>
      </c>
      <c r="P74" s="9">
        <v>4.2999999999999997E-2</v>
      </c>
      <c r="R74" s="10">
        <v>122</v>
      </c>
      <c r="S74" s="11">
        <v>13</v>
      </c>
      <c r="T74" s="12">
        <v>600</v>
      </c>
      <c r="V74" s="7">
        <v>1216</v>
      </c>
      <c r="W74" s="13">
        <f t="shared" si="13"/>
        <v>14.429957872791116</v>
      </c>
      <c r="Z74" s="13" t="e">
        <f t="shared" si="14"/>
        <v>#DIV/0!</v>
      </c>
      <c r="AB74" s="72">
        <v>30</v>
      </c>
      <c r="AI74" s="2">
        <v>700</v>
      </c>
      <c r="AJ74" s="7">
        <f t="shared" si="15"/>
        <v>8.539999999999999E-2</v>
      </c>
      <c r="AK74" s="8">
        <f t="shared" si="16"/>
        <v>0.37660000000000005</v>
      </c>
      <c r="AL74" s="56">
        <f t="shared" si="17"/>
        <v>9.1000000000000004E-3</v>
      </c>
      <c r="AM74" s="9">
        <f t="shared" si="18"/>
        <v>3.39E-2</v>
      </c>
    </row>
    <row r="75" spans="1:63" s="27" customFormat="1" thickTop="1" thickBot="1" x14ac:dyDescent="0.3">
      <c r="A75" s="21">
        <v>375</v>
      </c>
      <c r="B75" s="22">
        <v>38</v>
      </c>
      <c r="C75" s="22">
        <v>5</v>
      </c>
      <c r="D75" s="23"/>
      <c r="E75" s="24">
        <v>132</v>
      </c>
      <c r="F75" s="24">
        <v>10</v>
      </c>
      <c r="G75" s="25">
        <f t="shared" si="11"/>
        <v>122</v>
      </c>
      <c r="H75" s="23"/>
      <c r="I75" s="22">
        <v>112</v>
      </c>
      <c r="J75" s="3">
        <f t="shared" si="19"/>
        <v>11.711065573770469</v>
      </c>
      <c r="K75" s="26">
        <f t="shared" si="12"/>
        <v>174</v>
      </c>
      <c r="L75" s="23"/>
      <c r="N75" s="23"/>
      <c r="O75" s="28">
        <v>0.26300000000000001</v>
      </c>
      <c r="P75" s="29">
        <v>2.5000000000000001E-2</v>
      </c>
      <c r="Q75" s="23"/>
      <c r="R75" s="30">
        <v>172</v>
      </c>
      <c r="S75" s="31">
        <v>22</v>
      </c>
      <c r="T75" s="32">
        <v>1000</v>
      </c>
      <c r="U75" s="23"/>
      <c r="V75" s="33">
        <v>673</v>
      </c>
      <c r="W75" s="75">
        <f t="shared" si="13"/>
        <v>14.65806402668515</v>
      </c>
      <c r="X75" s="5"/>
      <c r="Y75" s="56"/>
      <c r="Z75" s="13" t="e">
        <f t="shared" si="14"/>
        <v>#DIV/0!</v>
      </c>
      <c r="AB75" s="27">
        <v>60</v>
      </c>
      <c r="AD75" s="5"/>
      <c r="AE75" s="28"/>
      <c r="AF75" s="3"/>
      <c r="AH75" s="5"/>
      <c r="AI75" s="2">
        <v>700</v>
      </c>
      <c r="AJ75" s="7">
        <f t="shared" si="15"/>
        <v>0.12039999999999999</v>
      </c>
      <c r="AK75" s="8">
        <f t="shared" si="16"/>
        <v>0.1426</v>
      </c>
      <c r="AL75" s="56">
        <f t="shared" si="17"/>
        <v>1.5399999999999999E-2</v>
      </c>
      <c r="AM75" s="9">
        <f t="shared" si="18"/>
        <v>9.6000000000000026E-3</v>
      </c>
      <c r="AN75" s="5"/>
      <c r="AO75" s="91"/>
      <c r="AP75" s="5"/>
      <c r="AQ75" s="96"/>
      <c r="AR75" s="5"/>
      <c r="AS75" s="30"/>
      <c r="AT75" s="31"/>
      <c r="AU75" s="32"/>
      <c r="BK75" s="5"/>
    </row>
    <row r="76" spans="1:63" thickTop="1" thickBot="1" x14ac:dyDescent="0.3">
      <c r="A76" s="15">
        <v>385</v>
      </c>
      <c r="B76" s="16">
        <v>39</v>
      </c>
      <c r="C76" s="16">
        <v>5</v>
      </c>
      <c r="D76" s="17"/>
      <c r="E76" s="1">
        <v>133</v>
      </c>
      <c r="F76" s="1">
        <v>11</v>
      </c>
      <c r="G76" s="18">
        <f t="shared" si="11"/>
        <v>122</v>
      </c>
      <c r="H76" s="17"/>
      <c r="I76" s="16">
        <v>14</v>
      </c>
      <c r="J76" s="3">
        <f t="shared" si="19"/>
        <v>10.604508196721298</v>
      </c>
      <c r="K76" s="20">
        <f t="shared" si="12"/>
        <v>174</v>
      </c>
      <c r="L76" s="17"/>
      <c r="N76" s="17"/>
      <c r="O76" s="8">
        <v>0.68600000000000005</v>
      </c>
      <c r="P76" s="9">
        <v>5.3999999999999999E-2</v>
      </c>
      <c r="Q76" s="17"/>
      <c r="R76" s="10">
        <v>147</v>
      </c>
      <c r="S76" s="11">
        <v>14</v>
      </c>
      <c r="T76" s="12">
        <v>700</v>
      </c>
      <c r="U76" s="17"/>
      <c r="V76" s="7">
        <v>1398</v>
      </c>
      <c r="W76" s="13">
        <f t="shared" si="13"/>
        <v>14.392813339392815</v>
      </c>
      <c r="Z76" s="13" t="e">
        <f t="shared" si="14"/>
        <v>#DIV/0!</v>
      </c>
      <c r="AB76">
        <f t="shared" ref="AB76:AB81" si="22">100/6</f>
        <v>16.666666666666668</v>
      </c>
      <c r="AE76" s="8">
        <f>(O76*AB76+O77*AB77+O78*AB78+O79*AB79+O80*AB80+O81*AB81)/100</f>
        <v>0.75</v>
      </c>
      <c r="AF76" s="3">
        <f>225-5.625*($B76-0.5)</f>
        <v>8.4375</v>
      </c>
      <c r="AG76">
        <f>K76</f>
        <v>174</v>
      </c>
      <c r="AI76" s="2">
        <v>600</v>
      </c>
      <c r="AJ76" s="7">
        <f t="shared" si="15"/>
        <v>8.8200000000000001E-2</v>
      </c>
      <c r="AK76" s="8">
        <f t="shared" si="16"/>
        <v>0.59780000000000011</v>
      </c>
      <c r="AL76" s="56">
        <f t="shared" si="17"/>
        <v>8.3999999999999995E-3</v>
      </c>
      <c r="AM76" s="9">
        <f t="shared" si="18"/>
        <v>4.5600000000000002E-2</v>
      </c>
      <c r="AO76" s="90">
        <f>($AB76*AK76+$AB77*AK77+$AB78*AK78+$AB79*AK79+$AB80*AK80+$AB81*AK81)/100</f>
        <v>0.65443333333333342</v>
      </c>
      <c r="AQ76" s="95">
        <f>($AB76*AM76+$AB77*AM77+$AB78*AM78+$AB79*AM79+$AB80*AM80+$AB81*AM81)/100</f>
        <v>4.1866666666666677E-2</v>
      </c>
      <c r="AS76" s="10">
        <f>($AB76*R76+$AB77*R77+$AB78*R78+$AB79*R79+$AB80*R80+$AB81*R81)/100</f>
        <v>143.83333333333334</v>
      </c>
      <c r="AT76" s="11">
        <f>($AB76*S76+$AB77*S77+$AB78*S78+$AB79*S79+$AB80*S80+$AB81*S81)/100</f>
        <v>23.5</v>
      </c>
      <c r="AU76" s="12">
        <f>($AB76*T76+$AB77*T77+$AB78*T78+$AB79*T79+$AB80*T80+$AB81*T81)/100</f>
        <v>1016.6666666666669</v>
      </c>
    </row>
    <row r="77" spans="1:63" thickTop="1" thickBot="1" x14ac:dyDescent="0.3">
      <c r="A77" s="4">
        <v>385</v>
      </c>
      <c r="B77" s="2">
        <v>39</v>
      </c>
      <c r="C77" s="2">
        <v>5</v>
      </c>
      <c r="E77" s="1">
        <v>133</v>
      </c>
      <c r="F77" s="1">
        <v>11</v>
      </c>
      <c r="G77" s="3">
        <f t="shared" si="11"/>
        <v>122</v>
      </c>
      <c r="I77" s="2">
        <v>34</v>
      </c>
      <c r="J77" s="3">
        <f t="shared" si="19"/>
        <v>9.6823770491803316</v>
      </c>
      <c r="K77" s="6">
        <f t="shared" si="12"/>
        <v>174</v>
      </c>
      <c r="O77" s="8">
        <v>0.66900000000000004</v>
      </c>
      <c r="P77" s="9">
        <v>5.8999999999999997E-2</v>
      </c>
      <c r="R77" s="10">
        <v>160</v>
      </c>
      <c r="S77" s="11">
        <v>15</v>
      </c>
      <c r="T77" s="12">
        <v>800</v>
      </c>
      <c r="V77" s="7">
        <v>1298</v>
      </c>
      <c r="W77" s="13">
        <f t="shared" si="13"/>
        <v>14.411945054243484</v>
      </c>
      <c r="Z77" s="13" t="e">
        <f t="shared" si="14"/>
        <v>#DIV/0!</v>
      </c>
      <c r="AB77">
        <f t="shared" si="22"/>
        <v>16.666666666666668</v>
      </c>
      <c r="AI77" s="2">
        <v>600</v>
      </c>
      <c r="AJ77" s="7">
        <f t="shared" si="15"/>
        <v>9.6000000000000002E-2</v>
      </c>
      <c r="AK77" s="8">
        <f t="shared" si="16"/>
        <v>0.57300000000000006</v>
      </c>
      <c r="AL77" s="56">
        <f t="shared" si="17"/>
        <v>8.9999999999999993E-3</v>
      </c>
      <c r="AM77" s="9">
        <f t="shared" si="18"/>
        <v>4.9999999999999996E-2</v>
      </c>
    </row>
    <row r="78" spans="1:63" thickTop="1" thickBot="1" x14ac:dyDescent="0.3">
      <c r="A78" s="4">
        <v>385</v>
      </c>
      <c r="B78" s="93">
        <v>39</v>
      </c>
      <c r="C78" s="93">
        <v>5</v>
      </c>
      <c r="E78" s="1">
        <v>133</v>
      </c>
      <c r="F78" s="1">
        <v>11</v>
      </c>
      <c r="G78" s="3">
        <f t="shared" si="11"/>
        <v>122</v>
      </c>
      <c r="I78" s="2">
        <v>54</v>
      </c>
      <c r="J78" s="3">
        <f t="shared" si="19"/>
        <v>8.7602459016393368</v>
      </c>
      <c r="K78" s="6">
        <f t="shared" si="12"/>
        <v>174</v>
      </c>
      <c r="O78" s="8">
        <v>0.74</v>
      </c>
      <c r="P78" s="9">
        <v>5.7000000000000002E-2</v>
      </c>
      <c r="R78" s="10">
        <v>138</v>
      </c>
      <c r="S78" s="11">
        <v>21</v>
      </c>
      <c r="T78" s="12">
        <v>900</v>
      </c>
      <c r="V78" s="7">
        <v>1403</v>
      </c>
      <c r="W78" s="13">
        <f t="shared" si="13"/>
        <v>14.391927728734224</v>
      </c>
      <c r="Z78" s="13" t="e">
        <f t="shared" si="14"/>
        <v>#DIV/0!</v>
      </c>
      <c r="AB78">
        <f t="shared" si="22"/>
        <v>16.666666666666668</v>
      </c>
      <c r="AI78" s="2">
        <v>700</v>
      </c>
      <c r="AJ78" s="7">
        <f t="shared" si="15"/>
        <v>9.6599999999999991E-2</v>
      </c>
      <c r="AK78" s="8">
        <f t="shared" si="16"/>
        <v>0.64339999999999997</v>
      </c>
      <c r="AL78" s="56">
        <f t="shared" si="17"/>
        <v>1.47E-2</v>
      </c>
      <c r="AM78" s="9">
        <f t="shared" si="18"/>
        <v>4.2300000000000004E-2</v>
      </c>
    </row>
    <row r="79" spans="1:63" thickTop="1" thickBot="1" x14ac:dyDescent="0.3">
      <c r="A79" s="4">
        <v>385</v>
      </c>
      <c r="B79" s="93">
        <v>39</v>
      </c>
      <c r="C79" s="93">
        <v>5</v>
      </c>
      <c r="E79" s="1">
        <v>133</v>
      </c>
      <c r="F79" s="1">
        <v>11</v>
      </c>
      <c r="G79" s="3">
        <f t="shared" si="11"/>
        <v>122</v>
      </c>
      <c r="I79" s="2">
        <v>74</v>
      </c>
      <c r="J79" s="3">
        <f t="shared" si="19"/>
        <v>7.8381147540983704</v>
      </c>
      <c r="K79" s="6">
        <f t="shared" si="12"/>
        <v>174</v>
      </c>
      <c r="O79" s="8">
        <v>0.83699999999999997</v>
      </c>
      <c r="P79" s="9">
        <v>6.9000000000000006E-2</v>
      </c>
      <c r="R79" s="10">
        <v>154</v>
      </c>
      <c r="S79" s="11">
        <v>29</v>
      </c>
      <c r="T79" s="12">
        <v>1100</v>
      </c>
      <c r="V79" s="7">
        <v>1869</v>
      </c>
      <c r="W79" s="13">
        <f t="shared" ref="W79:W116" si="23">SQRT(0.1^2+0.1^2+1/V79)*100</f>
        <v>14.330054249327079</v>
      </c>
      <c r="Z79" s="13" t="e">
        <f t="shared" si="14"/>
        <v>#DIV/0!</v>
      </c>
      <c r="AB79">
        <f t="shared" si="22"/>
        <v>16.666666666666668</v>
      </c>
      <c r="AI79" s="2">
        <v>700</v>
      </c>
      <c r="AJ79" s="7">
        <f t="shared" si="15"/>
        <v>0.10779999999999999</v>
      </c>
      <c r="AK79" s="8">
        <f t="shared" si="16"/>
        <v>0.72919999999999996</v>
      </c>
      <c r="AL79" s="56">
        <f t="shared" si="17"/>
        <v>2.0299999999999999E-2</v>
      </c>
      <c r="AM79" s="9">
        <f t="shared" si="18"/>
        <v>4.8700000000000007E-2</v>
      </c>
    </row>
    <row r="80" spans="1:63" thickTop="1" thickBot="1" x14ac:dyDescent="0.3">
      <c r="A80" s="4">
        <v>385</v>
      </c>
      <c r="B80" s="93">
        <v>39</v>
      </c>
      <c r="C80" s="93">
        <v>5</v>
      </c>
      <c r="E80" s="1">
        <v>133</v>
      </c>
      <c r="F80" s="1">
        <v>11</v>
      </c>
      <c r="G80" s="3">
        <f t="shared" ref="G80:G117" si="24">E80-F80</f>
        <v>122</v>
      </c>
      <c r="I80" s="2">
        <v>94</v>
      </c>
      <c r="J80" s="3">
        <f t="shared" si="19"/>
        <v>6.9159836065573757</v>
      </c>
      <c r="K80" s="6">
        <f t="shared" ref="K80:K117" si="25">120+12*(C80-0.5)</f>
        <v>174</v>
      </c>
      <c r="O80" s="8">
        <v>0.91800000000000004</v>
      </c>
      <c r="P80" s="9">
        <v>6.6000000000000003E-2</v>
      </c>
      <c r="R80" s="10">
        <v>161</v>
      </c>
      <c r="S80" s="11">
        <v>29</v>
      </c>
      <c r="T80" s="12">
        <v>1200</v>
      </c>
      <c r="V80" s="7">
        <v>1515</v>
      </c>
      <c r="W80" s="13">
        <f t="shared" si="23"/>
        <v>14.373609848121196</v>
      </c>
      <c r="Z80" s="13" t="e">
        <f t="shared" ref="Z80:Z117" si="26">SQRT(0.1^2+0.1^2+1/Y80)</f>
        <v>#DIV/0!</v>
      </c>
      <c r="AB80">
        <f t="shared" si="22"/>
        <v>16.666666666666668</v>
      </c>
      <c r="AI80" s="2">
        <v>700</v>
      </c>
      <c r="AJ80" s="7">
        <f t="shared" ref="AJ80:AJ117" si="27">AI80*R80*0.000001</f>
        <v>0.11269999999999999</v>
      </c>
      <c r="AK80" s="8">
        <f t="shared" ref="AK80:AK117" si="28">O80-AJ80</f>
        <v>0.80530000000000002</v>
      </c>
      <c r="AL80" s="56">
        <f t="shared" ref="AL80:AL117" si="29">S80*AI80*0.000001</f>
        <v>2.0299999999999999E-2</v>
      </c>
      <c r="AM80" s="9">
        <f t="shared" ref="AM80:AM117" si="30">P80-AL80</f>
        <v>4.5700000000000005E-2</v>
      </c>
    </row>
    <row r="81" spans="1:63" s="27" customFormat="1" thickTop="1" thickBot="1" x14ac:dyDescent="0.3">
      <c r="A81" s="21">
        <v>385</v>
      </c>
      <c r="B81" s="22">
        <v>39</v>
      </c>
      <c r="C81" s="22">
        <v>5</v>
      </c>
      <c r="D81" s="23"/>
      <c r="E81" s="24">
        <v>133</v>
      </c>
      <c r="F81" s="24">
        <v>11</v>
      </c>
      <c r="G81" s="25">
        <f t="shared" si="24"/>
        <v>122</v>
      </c>
      <c r="H81" s="23"/>
      <c r="I81" s="22">
        <v>114</v>
      </c>
      <c r="J81" s="3">
        <f t="shared" si="19"/>
        <v>5.9938524590163809</v>
      </c>
      <c r="K81" s="26">
        <f t="shared" si="25"/>
        <v>174</v>
      </c>
      <c r="L81" s="23"/>
      <c r="N81" s="23"/>
      <c r="O81" s="28">
        <v>0.65</v>
      </c>
      <c r="P81" s="29">
        <v>4.2000000000000003E-2</v>
      </c>
      <c r="Q81" s="23"/>
      <c r="R81" s="30">
        <v>103</v>
      </c>
      <c r="S81" s="31">
        <v>33</v>
      </c>
      <c r="T81" s="32">
        <v>1400</v>
      </c>
      <c r="U81" s="23"/>
      <c r="V81" s="33">
        <v>858</v>
      </c>
      <c r="W81" s="75">
        <f t="shared" si="23"/>
        <v>14.548368006584509</v>
      </c>
      <c r="X81" s="5"/>
      <c r="Y81" s="56"/>
      <c r="Z81" s="13" t="e">
        <f t="shared" si="26"/>
        <v>#DIV/0!</v>
      </c>
      <c r="AB81" s="27">
        <f t="shared" si="22"/>
        <v>16.666666666666668</v>
      </c>
      <c r="AD81" s="5"/>
      <c r="AE81" s="28"/>
      <c r="AF81" s="3"/>
      <c r="AH81" s="5"/>
      <c r="AI81" s="2">
        <v>700</v>
      </c>
      <c r="AJ81" s="7">
        <f t="shared" si="27"/>
        <v>7.2099999999999997E-2</v>
      </c>
      <c r="AK81" s="8">
        <f t="shared" si="28"/>
        <v>0.57790000000000008</v>
      </c>
      <c r="AL81" s="56">
        <f t="shared" si="29"/>
        <v>2.3099999999999999E-2</v>
      </c>
      <c r="AM81" s="9">
        <f t="shared" si="30"/>
        <v>1.8900000000000004E-2</v>
      </c>
      <c r="AN81" s="5"/>
      <c r="AO81" s="91"/>
      <c r="AP81" s="5"/>
      <c r="AQ81" s="96"/>
      <c r="AR81" s="5"/>
      <c r="AS81" s="30"/>
      <c r="AT81" s="31"/>
      <c r="AU81" s="32"/>
      <c r="BK81" s="5"/>
    </row>
    <row r="82" spans="1:63" thickTop="1" thickBot="1" x14ac:dyDescent="0.3">
      <c r="A82" s="15">
        <v>396</v>
      </c>
      <c r="B82" s="16">
        <v>40</v>
      </c>
      <c r="C82" s="16">
        <v>6</v>
      </c>
      <c r="D82" s="17"/>
      <c r="E82" s="1">
        <v>137</v>
      </c>
      <c r="F82" s="1">
        <v>15</v>
      </c>
      <c r="G82" s="18">
        <f t="shared" si="24"/>
        <v>122</v>
      </c>
      <c r="H82" s="17"/>
      <c r="I82" s="19">
        <v>10</v>
      </c>
      <c r="J82" s="3">
        <f t="shared" si="19"/>
        <v>5.163934426229531</v>
      </c>
      <c r="K82" s="20">
        <f t="shared" si="25"/>
        <v>186</v>
      </c>
      <c r="L82" s="17"/>
      <c r="N82" s="17"/>
      <c r="O82" s="8">
        <v>0.188</v>
      </c>
      <c r="P82" s="9">
        <v>1.2999999999999999E-2</v>
      </c>
      <c r="Q82" s="17"/>
      <c r="R82" s="10">
        <v>49</v>
      </c>
      <c r="S82" s="11">
        <v>17</v>
      </c>
      <c r="T82" s="12">
        <v>500</v>
      </c>
      <c r="U82" s="17"/>
      <c r="V82" s="7">
        <v>287</v>
      </c>
      <c r="W82" s="13">
        <f t="shared" si="23"/>
        <v>15.324594793171952</v>
      </c>
      <c r="Z82" s="13" t="e">
        <f t="shared" si="26"/>
        <v>#DIV/0!</v>
      </c>
      <c r="AB82">
        <v>15</v>
      </c>
      <c r="AE82" s="8">
        <f>(O82*AB82+O83*AB83+O84*AB84)/100</f>
        <v>0.29385</v>
      </c>
      <c r="AF82" s="3">
        <f>225-5.625*($B82-0.5)</f>
        <v>2.8125</v>
      </c>
      <c r="AG82">
        <f>K82</f>
        <v>186</v>
      </c>
      <c r="AI82" s="2">
        <v>600</v>
      </c>
      <c r="AJ82" s="7">
        <f t="shared" si="27"/>
        <v>2.9399999999999999E-2</v>
      </c>
      <c r="AK82" s="8">
        <f t="shared" si="28"/>
        <v>0.15859999999999999</v>
      </c>
      <c r="AL82" s="56">
        <f t="shared" si="29"/>
        <v>1.0199999999999999E-2</v>
      </c>
      <c r="AM82" s="9">
        <f t="shared" si="30"/>
        <v>2.8000000000000004E-3</v>
      </c>
      <c r="AO82" s="90">
        <f>($AB82*AK82+$AB83*AK83+$AB84*AK84)/100</f>
        <v>0.21660499999999999</v>
      </c>
      <c r="AQ82" s="95">
        <f>($AB82*AM82+$AB83*AM83+$AB84*AM84)/100</f>
        <v>1.0645E-2</v>
      </c>
      <c r="AS82" s="10">
        <f>($AB82*R82+$AB83*R83+$AB84*R84)/100</f>
        <v>111.4</v>
      </c>
      <c r="AT82" s="11">
        <f>($AB82*S82+$AB83*S83+$AB84*S84)/100</f>
        <v>21.3</v>
      </c>
      <c r="AU82" s="12">
        <f>($AB82*T82+$AB83*T83+$AB84*T84)/100</f>
        <v>575</v>
      </c>
    </row>
    <row r="83" spans="1:63" thickTop="1" thickBot="1" x14ac:dyDescent="0.3">
      <c r="A83" s="4">
        <v>396</v>
      </c>
      <c r="B83" s="93">
        <v>40</v>
      </c>
      <c r="C83" s="93">
        <v>6</v>
      </c>
      <c r="E83" s="1">
        <v>137</v>
      </c>
      <c r="F83" s="1">
        <v>15</v>
      </c>
      <c r="G83" s="3">
        <f t="shared" si="24"/>
        <v>122</v>
      </c>
      <c r="I83" s="2">
        <v>61</v>
      </c>
      <c r="J83" s="3">
        <f t="shared" si="19"/>
        <v>2.8125</v>
      </c>
      <c r="K83" s="6">
        <f t="shared" si="25"/>
        <v>186</v>
      </c>
      <c r="O83" s="8">
        <v>0.40899999999999997</v>
      </c>
      <c r="P83" s="9">
        <v>4.1000000000000002E-2</v>
      </c>
      <c r="R83" s="10">
        <v>193</v>
      </c>
      <c r="S83" s="11">
        <v>35</v>
      </c>
      <c r="T83" s="12">
        <v>1000</v>
      </c>
      <c r="V83" s="7">
        <v>653</v>
      </c>
      <c r="W83" s="13">
        <f t="shared" si="23"/>
        <v>14.673579511539444</v>
      </c>
      <c r="Z83" s="13" t="e">
        <f t="shared" si="26"/>
        <v>#DIV/0!</v>
      </c>
      <c r="AB83">
        <v>35</v>
      </c>
      <c r="AI83" s="2">
        <v>700</v>
      </c>
      <c r="AJ83" s="7">
        <f t="shared" si="27"/>
        <v>0.1351</v>
      </c>
      <c r="AK83" s="8">
        <f t="shared" si="28"/>
        <v>0.27389999999999998</v>
      </c>
      <c r="AL83" s="56">
        <f t="shared" si="29"/>
        <v>2.4499999999999997E-2</v>
      </c>
      <c r="AM83" s="9">
        <f t="shared" si="30"/>
        <v>1.6500000000000004E-2</v>
      </c>
    </row>
    <row r="84" spans="1:63" s="27" customFormat="1" thickTop="1" thickBot="1" x14ac:dyDescent="0.3">
      <c r="A84" s="21">
        <v>396</v>
      </c>
      <c r="B84" s="22">
        <v>40</v>
      </c>
      <c r="C84" s="22">
        <v>6</v>
      </c>
      <c r="D84" s="23"/>
      <c r="E84" s="24">
        <v>137</v>
      </c>
      <c r="F84" s="24">
        <v>15</v>
      </c>
      <c r="G84" s="25">
        <f t="shared" si="24"/>
        <v>122</v>
      </c>
      <c r="H84" s="23"/>
      <c r="I84" s="22">
        <v>112</v>
      </c>
      <c r="J84" s="3">
        <f t="shared" si="19"/>
        <v>0.46106557377046897</v>
      </c>
      <c r="K84" s="26">
        <f t="shared" si="25"/>
        <v>186</v>
      </c>
      <c r="L84" s="23"/>
      <c r="N84" s="23"/>
      <c r="O84" s="28">
        <v>0.245</v>
      </c>
      <c r="P84" s="29">
        <v>1.7999999999999999E-2</v>
      </c>
      <c r="Q84" s="23"/>
      <c r="R84" s="30">
        <v>73</v>
      </c>
      <c r="S84" s="31">
        <v>13</v>
      </c>
      <c r="T84" s="32">
        <v>300</v>
      </c>
      <c r="U84" s="23"/>
      <c r="V84" s="33">
        <v>309</v>
      </c>
      <c r="W84" s="75">
        <f t="shared" si="23"/>
        <v>15.243439885633611</v>
      </c>
      <c r="X84" s="5"/>
      <c r="Y84" s="56"/>
      <c r="Z84" s="13" t="e">
        <f t="shared" si="26"/>
        <v>#DIV/0!</v>
      </c>
      <c r="AB84" s="27">
        <v>50</v>
      </c>
      <c r="AD84" s="5"/>
      <c r="AE84" s="28"/>
      <c r="AF84" s="3"/>
      <c r="AH84" s="5"/>
      <c r="AI84" s="2">
        <v>700</v>
      </c>
      <c r="AJ84" s="7">
        <f t="shared" si="27"/>
        <v>5.11E-2</v>
      </c>
      <c r="AK84" s="8">
        <f t="shared" si="28"/>
        <v>0.19389999999999999</v>
      </c>
      <c r="AL84" s="56">
        <f t="shared" si="29"/>
        <v>9.1000000000000004E-3</v>
      </c>
      <c r="AM84" s="9">
        <f t="shared" si="30"/>
        <v>8.8999999999999982E-3</v>
      </c>
      <c r="AN84" s="5"/>
      <c r="AO84" s="91"/>
      <c r="AP84" s="5"/>
      <c r="AQ84" s="96"/>
      <c r="AR84" s="5"/>
      <c r="AS84" s="30"/>
      <c r="AT84" s="31"/>
      <c r="AU84" s="32"/>
      <c r="BK84" s="5"/>
    </row>
    <row r="85" spans="1:63" thickTop="1" thickBot="1" x14ac:dyDescent="0.3">
      <c r="A85" s="15">
        <v>406</v>
      </c>
      <c r="B85" s="16">
        <v>41</v>
      </c>
      <c r="C85" s="16">
        <v>6</v>
      </c>
      <c r="D85" s="17"/>
      <c r="E85" s="1">
        <v>136</v>
      </c>
      <c r="F85" s="1">
        <v>13</v>
      </c>
      <c r="G85" s="18">
        <f t="shared" si="24"/>
        <v>123</v>
      </c>
      <c r="H85" s="17"/>
      <c r="I85" s="16">
        <v>13</v>
      </c>
      <c r="J85" s="3">
        <f>225-5.625*(B85-0.5-(I85-0.5*G85)/G85)</f>
        <v>-5.0304878048780211</v>
      </c>
      <c r="K85" s="20">
        <f t="shared" si="25"/>
        <v>186</v>
      </c>
      <c r="L85" s="17"/>
      <c r="N85" s="17"/>
      <c r="O85" s="8">
        <v>0.38900000000000001</v>
      </c>
      <c r="P85" s="9">
        <v>1.9E-2</v>
      </c>
      <c r="Q85" s="17"/>
      <c r="R85" s="10">
        <v>160</v>
      </c>
      <c r="S85" s="11">
        <v>24</v>
      </c>
      <c r="T85" s="12">
        <v>800</v>
      </c>
      <c r="U85" s="17"/>
      <c r="V85" s="7">
        <v>283</v>
      </c>
      <c r="W85" s="13">
        <f t="shared" si="23"/>
        <v>15.340654778917894</v>
      </c>
      <c r="Z85" s="13" t="e">
        <f t="shared" si="26"/>
        <v>#DIV/0!</v>
      </c>
      <c r="AB85" s="72">
        <v>10</v>
      </c>
      <c r="AE85" s="8">
        <f>(O85*AB85+O86*AB86+O87*AB87)/100</f>
        <v>1.0744</v>
      </c>
      <c r="AF85" s="3">
        <f>225-5.625*($B85-0.5)</f>
        <v>-2.8125</v>
      </c>
      <c r="AG85">
        <f>K85</f>
        <v>186</v>
      </c>
      <c r="AI85" s="2">
        <v>700</v>
      </c>
      <c r="AJ85" s="7">
        <f t="shared" si="27"/>
        <v>0.11199999999999999</v>
      </c>
      <c r="AK85" s="8">
        <f t="shared" si="28"/>
        <v>0.27700000000000002</v>
      </c>
      <c r="AL85" s="56">
        <f t="shared" si="29"/>
        <v>1.6799999999999999E-2</v>
      </c>
      <c r="AM85" s="9">
        <f t="shared" si="30"/>
        <v>2.2000000000000006E-3</v>
      </c>
      <c r="AO85" s="90">
        <f>($AB85*AK85+$AB86*AK86+$AB87*AK87)/100</f>
        <v>0.96748000000000001</v>
      </c>
      <c r="AQ85" s="95">
        <f>($AB85*AM85+$AB86*AM86+$AB87*AM87)/100</f>
        <v>3.2099999999999997E-2</v>
      </c>
      <c r="AS85" s="10">
        <f>($AB85*R85+$AB86*R86+$AB87*R87)/100</f>
        <v>172.4</v>
      </c>
      <c r="AT85" s="11">
        <f>($AB85*S85+$AB86*S86+$AB87*S87)/100</f>
        <v>28.2</v>
      </c>
      <c r="AU85" s="12">
        <f>($AB85*T85+$AB86*T86+$AB87*T87)/100</f>
        <v>980</v>
      </c>
    </row>
    <row r="86" spans="1:63" thickTop="1" thickBot="1" x14ac:dyDescent="0.3">
      <c r="A86" s="4">
        <v>406</v>
      </c>
      <c r="B86" s="2">
        <v>41</v>
      </c>
      <c r="C86" s="2">
        <v>6</v>
      </c>
      <c r="E86" s="1">
        <v>136</v>
      </c>
      <c r="F86" s="1">
        <v>13</v>
      </c>
      <c r="G86" s="3">
        <f t="shared" si="24"/>
        <v>123</v>
      </c>
      <c r="I86" s="2">
        <v>61</v>
      </c>
      <c r="J86" s="3">
        <f>225-5.625*(B86-0.5-(I86-0.5*G86)/G86)</f>
        <v>-2.8353658536585442</v>
      </c>
      <c r="K86" s="6">
        <f t="shared" si="25"/>
        <v>186</v>
      </c>
      <c r="O86" s="8">
        <v>1.0880000000000001</v>
      </c>
      <c r="P86" s="9">
        <v>5.1999999999999998E-2</v>
      </c>
      <c r="R86" s="10">
        <v>172</v>
      </c>
      <c r="S86" s="11">
        <v>23</v>
      </c>
      <c r="T86" s="12">
        <v>900</v>
      </c>
      <c r="V86" s="7">
        <v>1768</v>
      </c>
      <c r="W86" s="13">
        <f t="shared" si="23"/>
        <v>14.34071506575893</v>
      </c>
      <c r="Z86" s="13" t="e">
        <f t="shared" si="26"/>
        <v>#DIV/0!</v>
      </c>
      <c r="AB86" s="72">
        <v>80</v>
      </c>
      <c r="AI86" s="2">
        <v>600</v>
      </c>
      <c r="AJ86" s="7">
        <f t="shared" si="27"/>
        <v>0.1032</v>
      </c>
      <c r="AK86" s="8">
        <f t="shared" si="28"/>
        <v>0.98480000000000012</v>
      </c>
      <c r="AL86" s="56">
        <f t="shared" si="29"/>
        <v>1.38E-2</v>
      </c>
      <c r="AM86" s="9">
        <f t="shared" si="30"/>
        <v>3.8199999999999998E-2</v>
      </c>
    </row>
    <row r="87" spans="1:63" s="27" customFormat="1" thickTop="1" thickBot="1" x14ac:dyDescent="0.3">
      <c r="A87" s="21">
        <v>406</v>
      </c>
      <c r="B87" s="22">
        <v>41</v>
      </c>
      <c r="C87" s="22">
        <v>6</v>
      </c>
      <c r="D87" s="23"/>
      <c r="E87" s="24">
        <v>136</v>
      </c>
      <c r="F87" s="24">
        <v>13</v>
      </c>
      <c r="G87" s="25">
        <f t="shared" si="24"/>
        <v>123</v>
      </c>
      <c r="H87" s="23"/>
      <c r="I87" s="86">
        <v>113</v>
      </c>
      <c r="J87" s="3">
        <f>225-5.625*(B87-0.5-(I87-0.5*G87)/G87)</f>
        <v>-0.45731707317071368</v>
      </c>
      <c r="K87" s="26">
        <f t="shared" si="25"/>
        <v>186</v>
      </c>
      <c r="L87" s="23"/>
      <c r="N87" s="23"/>
      <c r="O87" s="28">
        <v>1.651</v>
      </c>
      <c r="P87" s="29">
        <v>6.5000000000000002E-2</v>
      </c>
      <c r="Q87" s="23"/>
      <c r="R87" s="30">
        <v>188</v>
      </c>
      <c r="S87" s="31">
        <v>74</v>
      </c>
      <c r="T87" s="32">
        <v>1800</v>
      </c>
      <c r="U87" s="23"/>
      <c r="V87" s="33">
        <v>2396</v>
      </c>
      <c r="W87" s="75">
        <f t="shared" si="23"/>
        <v>14.288933574781131</v>
      </c>
      <c r="X87" s="5"/>
      <c r="Y87" s="56"/>
      <c r="Z87" s="13" t="e">
        <f t="shared" si="26"/>
        <v>#DIV/0!</v>
      </c>
      <c r="AB87" s="27">
        <v>10</v>
      </c>
      <c r="AD87" s="5"/>
      <c r="AE87" s="28"/>
      <c r="AF87" s="3"/>
      <c r="AH87" s="5"/>
      <c r="AI87" s="2">
        <v>700</v>
      </c>
      <c r="AJ87" s="7">
        <f t="shared" si="27"/>
        <v>0.13159999999999999</v>
      </c>
      <c r="AK87" s="8">
        <f t="shared" si="28"/>
        <v>1.5194000000000001</v>
      </c>
      <c r="AL87" s="56">
        <f t="shared" si="29"/>
        <v>5.1799999999999999E-2</v>
      </c>
      <c r="AM87" s="9">
        <f t="shared" si="30"/>
        <v>1.3200000000000003E-2</v>
      </c>
      <c r="AN87" s="5"/>
      <c r="AO87" s="91"/>
      <c r="AP87" s="5"/>
      <c r="AQ87" s="96"/>
      <c r="AR87" s="5"/>
      <c r="AS87" s="30"/>
      <c r="AT87" s="31"/>
      <c r="AU87" s="32"/>
      <c r="BK87" s="5"/>
    </row>
    <row r="88" spans="1:63" thickTop="1" thickBot="1" x14ac:dyDescent="0.3">
      <c r="A88" s="15">
        <v>416</v>
      </c>
      <c r="B88" s="16">
        <v>42</v>
      </c>
      <c r="C88" s="16">
        <v>6</v>
      </c>
      <c r="D88" s="17"/>
      <c r="E88" s="1">
        <v>135</v>
      </c>
      <c r="F88" s="1">
        <v>12</v>
      </c>
      <c r="G88" s="18">
        <f t="shared" si="24"/>
        <v>123</v>
      </c>
      <c r="H88" s="17"/>
      <c r="I88" s="19">
        <v>10</v>
      </c>
      <c r="J88" s="3">
        <f t="shared" si="19"/>
        <v>-6.0823170731707137</v>
      </c>
      <c r="K88" s="20">
        <f t="shared" si="25"/>
        <v>186</v>
      </c>
      <c r="L88" s="17"/>
      <c r="N88" s="17"/>
      <c r="O88" s="8">
        <v>0.28000000000000003</v>
      </c>
      <c r="P88" s="9">
        <v>2.5999999999999999E-2</v>
      </c>
      <c r="Q88" s="17"/>
      <c r="R88" s="10">
        <v>235</v>
      </c>
      <c r="S88" s="11">
        <v>25</v>
      </c>
      <c r="T88" s="12">
        <v>1000</v>
      </c>
      <c r="U88" s="17"/>
      <c r="V88" s="7">
        <v>402</v>
      </c>
      <c r="W88" s="13">
        <f t="shared" si="23"/>
        <v>14.995853489900043</v>
      </c>
      <c r="Z88" s="13" t="e">
        <f t="shared" si="26"/>
        <v>#DIV/0!</v>
      </c>
      <c r="AB88" s="72">
        <v>10</v>
      </c>
      <c r="AE88" s="8">
        <f>(O88*AB88+O89*AB89+O90*AB90)/100</f>
        <v>0.9625999999999999</v>
      </c>
      <c r="AF88" s="3">
        <f>225-5.625*($B88-0.5)</f>
        <v>-8.4375</v>
      </c>
      <c r="AG88">
        <f>K88</f>
        <v>186</v>
      </c>
      <c r="AI88" s="2">
        <v>800</v>
      </c>
      <c r="AJ88" s="7">
        <f t="shared" si="27"/>
        <v>0.188</v>
      </c>
      <c r="AK88" s="8">
        <f t="shared" si="28"/>
        <v>9.2000000000000026E-2</v>
      </c>
      <c r="AL88" s="56">
        <f t="shared" si="29"/>
        <v>0.02</v>
      </c>
      <c r="AM88" s="9">
        <f t="shared" si="30"/>
        <v>5.9999999999999984E-3</v>
      </c>
      <c r="AO88" s="90">
        <f>($AB88*AK88+$AB89*AK89+$AB90*AK90)/100</f>
        <v>0.81552000000000002</v>
      </c>
      <c r="AQ88" s="95">
        <f>($AB88*AM88+$AB89*AM89+$AB90*AM90)/100</f>
        <v>4.4219999999999995E-2</v>
      </c>
      <c r="AS88" s="10">
        <f>($AB88*R88+$AB89*R89+$AB90*R90)/100</f>
        <v>209.3</v>
      </c>
      <c r="AT88" s="11">
        <f>($AB88*S88+$AB89*S89+$AB90*S90)/100</f>
        <v>18.3</v>
      </c>
      <c r="AU88" s="12">
        <f>($AB88*T88+$AB89*T89+$AB90*T90)/100</f>
        <v>1120</v>
      </c>
    </row>
    <row r="89" spans="1:63" thickTop="1" thickBot="1" x14ac:dyDescent="0.3">
      <c r="A89" s="4">
        <v>416</v>
      </c>
      <c r="B89" s="2">
        <v>42</v>
      </c>
      <c r="C89" s="2">
        <v>6</v>
      </c>
      <c r="E89" s="1">
        <v>135</v>
      </c>
      <c r="F89" s="1">
        <v>12</v>
      </c>
      <c r="G89" s="3">
        <f t="shared" si="24"/>
        <v>123</v>
      </c>
      <c r="I89" s="2">
        <v>62</v>
      </c>
      <c r="J89" s="3">
        <f t="shared" si="19"/>
        <v>-8.4603658536585442</v>
      </c>
      <c r="K89" s="6">
        <f t="shared" si="25"/>
        <v>186</v>
      </c>
      <c r="O89" s="8">
        <v>1.079</v>
      </c>
      <c r="P89" s="9">
        <v>6.3E-2</v>
      </c>
      <c r="R89" s="10">
        <v>210</v>
      </c>
      <c r="S89" s="11">
        <v>15</v>
      </c>
      <c r="T89" s="12">
        <v>1100</v>
      </c>
      <c r="V89" s="7">
        <v>687</v>
      </c>
      <c r="W89" s="13">
        <f t="shared" si="23"/>
        <v>14.647731590827098</v>
      </c>
      <c r="Z89" s="13" t="e">
        <f t="shared" si="26"/>
        <v>#DIV/0!</v>
      </c>
      <c r="AB89" s="72">
        <v>80</v>
      </c>
      <c r="AI89" s="2">
        <v>700</v>
      </c>
      <c r="AJ89" s="7">
        <f t="shared" si="27"/>
        <v>0.14699999999999999</v>
      </c>
      <c r="AK89" s="8">
        <f t="shared" si="28"/>
        <v>0.93199999999999994</v>
      </c>
      <c r="AL89" s="56">
        <f t="shared" si="29"/>
        <v>1.0499999999999999E-2</v>
      </c>
      <c r="AM89" s="9">
        <f t="shared" si="30"/>
        <v>5.2500000000000005E-2</v>
      </c>
    </row>
    <row r="90" spans="1:63" s="27" customFormat="1" thickTop="1" thickBot="1" x14ac:dyDescent="0.3">
      <c r="A90" s="21">
        <v>416</v>
      </c>
      <c r="B90" s="22">
        <v>42</v>
      </c>
      <c r="C90" s="22">
        <v>6</v>
      </c>
      <c r="D90" s="23"/>
      <c r="E90" s="24">
        <v>135</v>
      </c>
      <c r="F90" s="24">
        <v>12</v>
      </c>
      <c r="G90" s="25">
        <f t="shared" si="24"/>
        <v>123</v>
      </c>
      <c r="H90" s="23"/>
      <c r="I90" s="22">
        <v>114</v>
      </c>
      <c r="J90" s="3">
        <f t="shared" si="19"/>
        <v>-10.838414634146346</v>
      </c>
      <c r="K90" s="26">
        <f t="shared" si="25"/>
        <v>186</v>
      </c>
      <c r="L90" s="23"/>
      <c r="N90" s="23"/>
      <c r="O90" s="28">
        <v>0.71399999999999997</v>
      </c>
      <c r="P90" s="29">
        <v>3.9E-2</v>
      </c>
      <c r="Q90" s="23"/>
      <c r="R90" s="30">
        <v>178</v>
      </c>
      <c r="S90" s="31">
        <v>38</v>
      </c>
      <c r="T90" s="32">
        <v>1400</v>
      </c>
      <c r="U90" s="23"/>
      <c r="V90" s="33">
        <v>863</v>
      </c>
      <c r="W90" s="75">
        <f t="shared" si="23"/>
        <v>14.546047075258734</v>
      </c>
      <c r="X90" s="5"/>
      <c r="Y90" s="56"/>
      <c r="Z90" s="13" t="e">
        <f t="shared" si="26"/>
        <v>#DIV/0!</v>
      </c>
      <c r="AB90" s="27">
        <v>10</v>
      </c>
      <c r="AD90" s="5"/>
      <c r="AE90" s="28"/>
      <c r="AF90" s="3"/>
      <c r="AH90" s="5"/>
      <c r="AI90" s="2">
        <v>600</v>
      </c>
      <c r="AJ90" s="7">
        <f t="shared" si="27"/>
        <v>0.10679999999999999</v>
      </c>
      <c r="AK90" s="8">
        <f t="shared" si="28"/>
        <v>0.60719999999999996</v>
      </c>
      <c r="AL90" s="56">
        <f t="shared" si="29"/>
        <v>2.2799999999999997E-2</v>
      </c>
      <c r="AM90" s="9">
        <f t="shared" si="30"/>
        <v>1.6200000000000003E-2</v>
      </c>
      <c r="AN90" s="5"/>
      <c r="AO90" s="91"/>
      <c r="AP90" s="5"/>
      <c r="AQ90" s="96"/>
      <c r="AR90" s="5"/>
      <c r="AS90" s="30"/>
      <c r="AT90" s="31"/>
      <c r="AU90" s="32"/>
      <c r="BK90" s="5"/>
    </row>
    <row r="91" spans="1:63" thickTop="1" thickBot="1" x14ac:dyDescent="0.3">
      <c r="A91" s="15">
        <v>426</v>
      </c>
      <c r="B91" s="16">
        <v>43</v>
      </c>
      <c r="C91" s="16">
        <v>6</v>
      </c>
      <c r="D91" s="17"/>
      <c r="E91" s="1">
        <v>137</v>
      </c>
      <c r="F91" s="1">
        <v>13</v>
      </c>
      <c r="G91" s="18">
        <f t="shared" si="24"/>
        <v>124</v>
      </c>
      <c r="H91" s="17"/>
      <c r="I91" s="19">
        <v>10</v>
      </c>
      <c r="J91" s="3">
        <f t="shared" si="19"/>
        <v>-11.70362903225805</v>
      </c>
      <c r="K91" s="20">
        <f t="shared" si="25"/>
        <v>186</v>
      </c>
      <c r="L91" s="17"/>
      <c r="N91" s="17"/>
      <c r="O91" s="8">
        <v>0.7</v>
      </c>
      <c r="P91" s="9">
        <v>4.3999999999999997E-2</v>
      </c>
      <c r="Q91" s="17"/>
      <c r="R91" s="10">
        <v>86</v>
      </c>
      <c r="S91" s="11">
        <v>28</v>
      </c>
      <c r="T91" s="12">
        <v>900</v>
      </c>
      <c r="U91" s="17"/>
      <c r="V91" s="7">
        <v>124</v>
      </c>
      <c r="W91" s="13">
        <f t="shared" si="23"/>
        <v>16.752467319482303</v>
      </c>
      <c r="Y91" s="56">
        <v>26</v>
      </c>
      <c r="Z91" s="13">
        <f t="shared" si="26"/>
        <v>0.24178820993079556</v>
      </c>
      <c r="AB91" s="72">
        <v>10</v>
      </c>
      <c r="AE91" s="8">
        <f>(O91*AB91+O92*AB92+O93*AB93)/100</f>
        <v>0.80570000000000008</v>
      </c>
      <c r="AF91" s="3">
        <f>225-5.625*($B91-0.5)</f>
        <v>-14.0625</v>
      </c>
      <c r="AG91">
        <f>K91</f>
        <v>186</v>
      </c>
      <c r="AI91" s="2">
        <v>700</v>
      </c>
      <c r="AJ91" s="7">
        <f t="shared" si="27"/>
        <v>6.0199999999999997E-2</v>
      </c>
      <c r="AK91" s="8">
        <f t="shared" si="28"/>
        <v>0.63979999999999992</v>
      </c>
      <c r="AL91" s="56">
        <f t="shared" si="29"/>
        <v>1.9599999999999999E-2</v>
      </c>
      <c r="AM91" s="9">
        <f t="shared" si="30"/>
        <v>2.4399999999999998E-2</v>
      </c>
      <c r="AO91" s="90">
        <f>($AB91*AK91+$AB92*AK92+$AB93*AK93)/100</f>
        <v>0.71883000000000008</v>
      </c>
      <c r="AQ91" s="95">
        <f>($AB91*AM91+$AB92*AM92+$AB93*AM93)/100</f>
        <v>2.5970000000000003E-2</v>
      </c>
      <c r="AS91" s="10">
        <f>($AB91*R91+$AB92*R92+$AB93*R93)/100</f>
        <v>124.1</v>
      </c>
      <c r="AT91" s="11">
        <f>($AB91*S91+$AB92*S92+$AB93*S93)/100</f>
        <v>34.9</v>
      </c>
      <c r="AU91" s="12">
        <f>($AB91*T91+$AB92*T92+$AB93*T93)/100</f>
        <v>990</v>
      </c>
    </row>
    <row r="92" spans="1:63" thickTop="1" thickBot="1" x14ac:dyDescent="0.3">
      <c r="A92" s="4">
        <v>426</v>
      </c>
      <c r="B92" s="2">
        <v>43</v>
      </c>
      <c r="C92" s="2">
        <v>6</v>
      </c>
      <c r="E92" s="1">
        <v>137</v>
      </c>
      <c r="F92" s="1">
        <v>13</v>
      </c>
      <c r="G92" s="3">
        <f t="shared" si="24"/>
        <v>124</v>
      </c>
      <c r="I92" s="2">
        <v>62</v>
      </c>
      <c r="J92" s="3">
        <f t="shared" si="19"/>
        <v>-14.0625</v>
      </c>
      <c r="K92" s="6">
        <f t="shared" si="25"/>
        <v>186</v>
      </c>
      <c r="O92" s="8">
        <v>0.80500000000000005</v>
      </c>
      <c r="P92" s="9">
        <v>0.05</v>
      </c>
      <c r="R92" s="10">
        <v>120</v>
      </c>
      <c r="S92" s="11">
        <v>37</v>
      </c>
      <c r="T92" s="12">
        <v>1000</v>
      </c>
      <c r="V92" s="7">
        <v>881</v>
      </c>
      <c r="W92" s="13">
        <f t="shared" si="23"/>
        <v>14.537906926306722</v>
      </c>
      <c r="Y92" s="56">
        <v>185</v>
      </c>
      <c r="Z92" s="13">
        <f t="shared" si="26"/>
        <v>0.15939073186796468</v>
      </c>
      <c r="AB92" s="72">
        <v>80</v>
      </c>
      <c r="AI92" s="2">
        <v>700</v>
      </c>
      <c r="AJ92" s="7">
        <f t="shared" si="27"/>
        <v>8.3999999999999991E-2</v>
      </c>
      <c r="AK92" s="8">
        <f t="shared" si="28"/>
        <v>0.72100000000000009</v>
      </c>
      <c r="AL92" s="56">
        <f t="shared" si="29"/>
        <v>2.5899999999999999E-2</v>
      </c>
      <c r="AM92" s="9">
        <f t="shared" si="30"/>
        <v>2.4100000000000003E-2</v>
      </c>
    </row>
    <row r="93" spans="1:63" s="27" customFormat="1" thickTop="1" thickBot="1" x14ac:dyDescent="0.3">
      <c r="A93" s="21">
        <v>426</v>
      </c>
      <c r="B93" s="22">
        <v>43</v>
      </c>
      <c r="C93" s="22">
        <v>6</v>
      </c>
      <c r="D93" s="23"/>
      <c r="E93" s="24">
        <v>137</v>
      </c>
      <c r="F93" s="24">
        <v>13</v>
      </c>
      <c r="G93" s="25">
        <f t="shared" si="24"/>
        <v>124</v>
      </c>
      <c r="H93" s="23"/>
      <c r="I93" s="22">
        <v>114</v>
      </c>
      <c r="J93" s="3">
        <f t="shared" ref="J93:J127" si="31">225-5.625*(B93-0.5+(I93-0.5*G93)/G93)</f>
        <v>-16.42137096774195</v>
      </c>
      <c r="K93" s="26">
        <f t="shared" si="25"/>
        <v>186</v>
      </c>
      <c r="L93" s="23"/>
      <c r="N93" s="23"/>
      <c r="O93" s="28">
        <v>0.91700000000000004</v>
      </c>
      <c r="P93" s="29">
        <v>0.06</v>
      </c>
      <c r="Q93" s="23"/>
      <c r="R93" s="30">
        <v>195</v>
      </c>
      <c r="S93" s="31">
        <v>25</v>
      </c>
      <c r="T93" s="32">
        <v>1000</v>
      </c>
      <c r="U93" s="23"/>
      <c r="V93" s="33">
        <v>1971</v>
      </c>
      <c r="W93" s="75">
        <f t="shared" si="23"/>
        <v>14.320389894042773</v>
      </c>
      <c r="X93" s="5"/>
      <c r="Y93" s="55">
        <v>426</v>
      </c>
      <c r="Z93" s="13">
        <f t="shared" si="26"/>
        <v>0.14949052759414422</v>
      </c>
      <c r="AB93" s="27">
        <v>10</v>
      </c>
      <c r="AD93" s="5"/>
      <c r="AE93" s="28"/>
      <c r="AF93" s="3"/>
      <c r="AH93" s="5"/>
      <c r="AI93" s="2">
        <v>700</v>
      </c>
      <c r="AJ93" s="7">
        <f t="shared" si="27"/>
        <v>0.13649999999999998</v>
      </c>
      <c r="AK93" s="8">
        <f t="shared" si="28"/>
        <v>0.78050000000000008</v>
      </c>
      <c r="AL93" s="56">
        <f t="shared" si="29"/>
        <v>1.7499999999999998E-2</v>
      </c>
      <c r="AM93" s="9">
        <f t="shared" si="30"/>
        <v>4.2499999999999996E-2</v>
      </c>
      <c r="AN93" s="5"/>
      <c r="AO93" s="91"/>
      <c r="AP93" s="5"/>
      <c r="AQ93" s="96"/>
      <c r="AR93" s="5"/>
      <c r="AS93" s="30"/>
      <c r="AT93" s="31"/>
      <c r="AU93" s="32"/>
      <c r="BK93" s="5"/>
    </row>
    <row r="94" spans="1:63" thickTop="1" thickBot="1" x14ac:dyDescent="0.3">
      <c r="A94" s="15">
        <v>436</v>
      </c>
      <c r="B94" s="16">
        <v>44</v>
      </c>
      <c r="C94" s="16">
        <v>6</v>
      </c>
      <c r="D94" s="17"/>
      <c r="E94" s="1">
        <v>132</v>
      </c>
      <c r="F94" s="1">
        <v>14</v>
      </c>
      <c r="G94" s="18">
        <f t="shared" si="24"/>
        <v>118</v>
      </c>
      <c r="H94" s="17"/>
      <c r="I94" s="19">
        <v>10</v>
      </c>
      <c r="J94" s="3">
        <f t="shared" si="31"/>
        <v>-17.351694915254228</v>
      </c>
      <c r="K94" s="20">
        <f t="shared" si="25"/>
        <v>186</v>
      </c>
      <c r="L94" s="17"/>
      <c r="N94" s="17"/>
      <c r="O94" s="8">
        <v>0.46500000000000002</v>
      </c>
      <c r="P94" s="9">
        <v>7.1999999999999995E-2</v>
      </c>
      <c r="Q94" s="17"/>
      <c r="R94" s="10">
        <v>132</v>
      </c>
      <c r="S94" s="11">
        <v>10</v>
      </c>
      <c r="T94" s="12">
        <v>800</v>
      </c>
      <c r="U94" s="17"/>
      <c r="V94" s="7">
        <v>927</v>
      </c>
      <c r="W94" s="13">
        <f t="shared" si="23"/>
        <v>14.518522187731156</v>
      </c>
      <c r="Y94" s="56">
        <v>409</v>
      </c>
      <c r="Z94" s="13">
        <f t="shared" si="26"/>
        <v>0.14981651369278731</v>
      </c>
      <c r="AB94" s="72">
        <v>10</v>
      </c>
      <c r="AE94" s="8">
        <f>(O94*AB94+O95*AB95+O96*AB96)/100</f>
        <v>0.50385000000000002</v>
      </c>
      <c r="AF94" s="3">
        <f>225-5.625*($B94-0.5)</f>
        <v>-19.6875</v>
      </c>
      <c r="AG94">
        <f>K94</f>
        <v>186</v>
      </c>
      <c r="AI94" s="2">
        <v>500</v>
      </c>
      <c r="AJ94" s="7">
        <f t="shared" si="27"/>
        <v>6.6000000000000003E-2</v>
      </c>
      <c r="AK94" s="8">
        <f t="shared" si="28"/>
        <v>0.39900000000000002</v>
      </c>
      <c r="AL94" s="56">
        <f t="shared" si="29"/>
        <v>5.0000000000000001E-3</v>
      </c>
      <c r="AM94" s="9">
        <f t="shared" si="30"/>
        <v>6.699999999999999E-2</v>
      </c>
      <c r="AO94" s="90">
        <f>($AB94*AK94+$AB95*AK95+$AB96*AK96)/100</f>
        <v>0.37896000000000002</v>
      </c>
      <c r="AQ94" s="95">
        <f>($AB94*AM94+$AB95*AM95+$AB96*AM96)/100</f>
        <v>4.0419999999999998E-2</v>
      </c>
      <c r="AS94" s="10">
        <f>($AB94*R94+$AB95*R95+$AB96*R96)/100</f>
        <v>168.6</v>
      </c>
      <c r="AT94" s="11">
        <f>($AB94*S94+$AB95*S95+$AB96*S96)/100</f>
        <v>17.8</v>
      </c>
      <c r="AU94" s="12">
        <f>($AB94*T94+$AB95*T95+$AB96*T96)/100</f>
        <v>875</v>
      </c>
    </row>
    <row r="95" spans="1:63" thickTop="1" thickBot="1" x14ac:dyDescent="0.3">
      <c r="A95" s="4">
        <v>436</v>
      </c>
      <c r="B95" s="2">
        <v>44</v>
      </c>
      <c r="C95" s="2">
        <v>6</v>
      </c>
      <c r="E95" s="1">
        <v>132</v>
      </c>
      <c r="F95" s="1">
        <v>14</v>
      </c>
      <c r="G95" s="3">
        <f t="shared" si="24"/>
        <v>118</v>
      </c>
      <c r="I95" s="2">
        <v>59</v>
      </c>
      <c r="J95" s="3">
        <f t="shared" si="31"/>
        <v>-19.6875</v>
      </c>
      <c r="K95" s="6">
        <f t="shared" si="25"/>
        <v>186</v>
      </c>
      <c r="O95" s="8">
        <v>0.57199999999999995</v>
      </c>
      <c r="P95" s="9">
        <v>5.7000000000000002E-2</v>
      </c>
      <c r="R95" s="10">
        <v>167</v>
      </c>
      <c r="S95" s="11">
        <v>15</v>
      </c>
      <c r="T95" s="12">
        <v>900</v>
      </c>
      <c r="V95" s="7">
        <v>756</v>
      </c>
      <c r="W95" s="13">
        <f t="shared" si="23"/>
        <v>14.602311913786572</v>
      </c>
      <c r="Y95" s="56">
        <v>232</v>
      </c>
      <c r="Z95" s="13">
        <f t="shared" si="26"/>
        <v>0.15591775020050222</v>
      </c>
      <c r="AB95" s="72">
        <v>75</v>
      </c>
      <c r="AI95" s="2">
        <v>800</v>
      </c>
      <c r="AJ95" s="7">
        <f t="shared" si="27"/>
        <v>0.1336</v>
      </c>
      <c r="AK95" s="8">
        <f t="shared" si="28"/>
        <v>0.43839999999999996</v>
      </c>
      <c r="AL95" s="56">
        <f t="shared" si="29"/>
        <v>1.2E-2</v>
      </c>
      <c r="AM95" s="9">
        <f t="shared" si="30"/>
        <v>4.4999999999999998E-2</v>
      </c>
    </row>
    <row r="96" spans="1:63" s="27" customFormat="1" thickTop="1" thickBot="1" x14ac:dyDescent="0.3">
      <c r="A96" s="21">
        <v>436</v>
      </c>
      <c r="B96" s="22">
        <v>44</v>
      </c>
      <c r="C96" s="22">
        <v>6</v>
      </c>
      <c r="D96" s="23"/>
      <c r="E96" s="24">
        <v>132</v>
      </c>
      <c r="F96" s="24">
        <v>14</v>
      </c>
      <c r="G96" s="25">
        <f t="shared" si="24"/>
        <v>118</v>
      </c>
      <c r="H96" s="23"/>
      <c r="I96" s="22">
        <v>108</v>
      </c>
      <c r="J96" s="3">
        <f t="shared" si="31"/>
        <v>-22.023305084745772</v>
      </c>
      <c r="K96" s="26">
        <f t="shared" si="25"/>
        <v>186</v>
      </c>
      <c r="L96" s="23"/>
      <c r="N96" s="23"/>
      <c r="O96" s="28">
        <v>0.189</v>
      </c>
      <c r="P96" s="29">
        <v>2.1999999999999999E-2</v>
      </c>
      <c r="Q96" s="23"/>
      <c r="R96" s="30">
        <v>201</v>
      </c>
      <c r="S96" s="31">
        <v>37</v>
      </c>
      <c r="T96" s="32">
        <v>800</v>
      </c>
      <c r="U96" s="23"/>
      <c r="V96" s="33">
        <v>0</v>
      </c>
      <c r="W96" s="75" t="e">
        <f t="shared" si="23"/>
        <v>#DIV/0!</v>
      </c>
      <c r="X96" s="5"/>
      <c r="Y96" s="55">
        <v>0</v>
      </c>
      <c r="Z96" s="13" t="e">
        <f t="shared" si="26"/>
        <v>#DIV/0!</v>
      </c>
      <c r="AB96" s="27">
        <v>15</v>
      </c>
      <c r="AD96" s="5"/>
      <c r="AE96" s="28"/>
      <c r="AF96" s="3"/>
      <c r="AH96" s="5"/>
      <c r="AI96" s="2">
        <v>600</v>
      </c>
      <c r="AJ96" s="7">
        <f t="shared" si="27"/>
        <v>0.1206</v>
      </c>
      <c r="AK96" s="8">
        <f t="shared" si="28"/>
        <v>6.8400000000000002E-2</v>
      </c>
      <c r="AL96" s="56">
        <f t="shared" si="29"/>
        <v>2.2199999999999998E-2</v>
      </c>
      <c r="AM96" s="9">
        <f t="shared" si="30"/>
        <v>-1.9999999999999879E-4</v>
      </c>
      <c r="AN96" s="5"/>
      <c r="AO96" s="91"/>
      <c r="AP96" s="5"/>
      <c r="AQ96" s="96"/>
      <c r="AR96" s="5"/>
      <c r="AS96" s="30"/>
      <c r="AT96" s="31"/>
      <c r="AU96" s="32"/>
      <c r="BK96" s="5"/>
    </row>
    <row r="97" spans="1:63" thickTop="1" thickBot="1" x14ac:dyDescent="0.3">
      <c r="A97" s="15">
        <v>445</v>
      </c>
      <c r="B97" s="16">
        <v>45</v>
      </c>
      <c r="C97" s="16">
        <v>5</v>
      </c>
      <c r="D97" s="17"/>
      <c r="E97" s="1">
        <v>135</v>
      </c>
      <c r="F97" s="1">
        <v>13</v>
      </c>
      <c r="G97" s="18">
        <f t="shared" si="24"/>
        <v>122</v>
      </c>
      <c r="H97" s="17"/>
      <c r="I97" s="19">
        <v>10</v>
      </c>
      <c r="J97" s="3">
        <f t="shared" si="31"/>
        <v>-22.961065573770469</v>
      </c>
      <c r="K97" s="20">
        <f t="shared" si="25"/>
        <v>174</v>
      </c>
      <c r="L97" s="17"/>
      <c r="N97" s="17"/>
      <c r="O97" s="8">
        <v>0.08</v>
      </c>
      <c r="P97" s="9">
        <v>1.9E-2</v>
      </c>
      <c r="Q97" s="17"/>
      <c r="R97" s="10">
        <v>39</v>
      </c>
      <c r="S97" s="11">
        <v>22</v>
      </c>
      <c r="T97" s="12">
        <v>500</v>
      </c>
      <c r="U97" s="17"/>
      <c r="V97" s="7">
        <v>328</v>
      </c>
      <c r="W97" s="13">
        <f t="shared" si="23"/>
        <v>15.181824820424216</v>
      </c>
      <c r="Y97" s="56">
        <v>0</v>
      </c>
      <c r="Z97" s="13" t="e">
        <f t="shared" si="26"/>
        <v>#DIV/0!</v>
      </c>
      <c r="AB97" s="72">
        <v>10</v>
      </c>
      <c r="AE97" s="8">
        <f>(O97*AB97+O98*AB98+O99*AB99)/100</f>
        <v>0.17189999999999997</v>
      </c>
      <c r="AF97" s="3">
        <f>225-5.625*($B97-0.5)</f>
        <v>-25.3125</v>
      </c>
      <c r="AG97">
        <f>K97</f>
        <v>174</v>
      </c>
      <c r="AI97" s="2">
        <v>600</v>
      </c>
      <c r="AJ97" s="7">
        <f t="shared" si="27"/>
        <v>2.3400000000000001E-2</v>
      </c>
      <c r="AK97" s="8">
        <f t="shared" si="28"/>
        <v>5.6599999999999998E-2</v>
      </c>
      <c r="AL97" s="56">
        <f t="shared" si="29"/>
        <v>1.32E-2</v>
      </c>
      <c r="AM97" s="9">
        <f t="shared" si="30"/>
        <v>5.7999999999999996E-3</v>
      </c>
      <c r="AO97" s="90">
        <f>($AB97*AK97+$AB98*AK98+$AB99*AK99)/100</f>
        <v>9.4740000000000019E-2</v>
      </c>
      <c r="AQ97" s="95">
        <f>($AB97*AM97+$AB98*AM98+$AB99*AM99)/100</f>
        <v>2.5800000000000033E-3</v>
      </c>
      <c r="AS97" s="10">
        <f>($AB97*R97+$AB98*R98+$AB99*R99)/100</f>
        <v>128.6</v>
      </c>
      <c r="AT97" s="11">
        <f>($AB97*S97+$AB98*S98+$AB99*S99)/100</f>
        <v>65.95</v>
      </c>
      <c r="AU97" s="12">
        <f>($AB97*T97+$AB98*T98+$AB99*T99)/100</f>
        <v>1775</v>
      </c>
    </row>
    <row r="98" spans="1:63" thickTop="1" thickBot="1" x14ac:dyDescent="0.3">
      <c r="A98" s="4">
        <v>445</v>
      </c>
      <c r="B98" s="2">
        <v>45</v>
      </c>
      <c r="C98" s="2">
        <v>5</v>
      </c>
      <c r="E98" s="1">
        <v>135</v>
      </c>
      <c r="F98" s="1">
        <v>13</v>
      </c>
      <c r="G98" s="3">
        <f t="shared" si="24"/>
        <v>122</v>
      </c>
      <c r="I98" s="2">
        <v>61</v>
      </c>
      <c r="J98" s="3">
        <f t="shared" si="31"/>
        <v>-25.3125</v>
      </c>
      <c r="K98" s="6">
        <f t="shared" si="25"/>
        <v>174</v>
      </c>
      <c r="O98" s="8">
        <v>0.185</v>
      </c>
      <c r="P98" s="9">
        <v>4.5999999999999999E-2</v>
      </c>
      <c r="R98" s="10">
        <v>143</v>
      </c>
      <c r="S98" s="11">
        <v>74</v>
      </c>
      <c r="T98" s="12">
        <v>2000</v>
      </c>
      <c r="V98" s="7">
        <v>824</v>
      </c>
      <c r="W98" s="13">
        <f t="shared" si="23"/>
        <v>14.564886622631057</v>
      </c>
      <c r="Y98" s="56">
        <v>0</v>
      </c>
      <c r="Z98" s="13" t="e">
        <f t="shared" si="26"/>
        <v>#DIV/0!</v>
      </c>
      <c r="AB98" s="72">
        <v>85</v>
      </c>
      <c r="AI98" s="2">
        <v>600</v>
      </c>
      <c r="AJ98" s="7">
        <f t="shared" si="27"/>
        <v>8.5800000000000001E-2</v>
      </c>
      <c r="AK98" s="8">
        <f t="shared" si="28"/>
        <v>9.9199999999999997E-2</v>
      </c>
      <c r="AL98" s="56">
        <f t="shared" si="29"/>
        <v>4.4399999999999995E-2</v>
      </c>
      <c r="AM98" s="9">
        <f t="shared" si="30"/>
        <v>1.6000000000000042E-3</v>
      </c>
    </row>
    <row r="99" spans="1:63" s="27" customFormat="1" thickTop="1" thickBot="1" x14ac:dyDescent="0.3">
      <c r="A99" s="21">
        <v>445</v>
      </c>
      <c r="B99" s="22">
        <v>45</v>
      </c>
      <c r="C99" s="22">
        <v>5</v>
      </c>
      <c r="D99" s="23"/>
      <c r="E99" s="24">
        <v>135</v>
      </c>
      <c r="F99" s="24">
        <v>13</v>
      </c>
      <c r="G99" s="25">
        <f t="shared" si="24"/>
        <v>122</v>
      </c>
      <c r="H99" s="23"/>
      <c r="I99" s="22">
        <v>112</v>
      </c>
      <c r="J99" s="3">
        <f t="shared" si="31"/>
        <v>-27.663934426229531</v>
      </c>
      <c r="K99" s="26">
        <f t="shared" si="25"/>
        <v>174</v>
      </c>
      <c r="L99" s="23"/>
      <c r="N99" s="23"/>
      <c r="O99" s="28">
        <v>0.13300000000000001</v>
      </c>
      <c r="P99" s="29">
        <v>2.3E-2</v>
      </c>
      <c r="Q99" s="23"/>
      <c r="R99" s="30">
        <v>63</v>
      </c>
      <c r="S99" s="31">
        <v>17</v>
      </c>
      <c r="T99" s="32">
        <v>500</v>
      </c>
      <c r="U99" s="23"/>
      <c r="V99" s="33">
        <v>523</v>
      </c>
      <c r="W99" s="75">
        <f t="shared" si="23"/>
        <v>14.80271795620701</v>
      </c>
      <c r="X99" s="5"/>
      <c r="Y99" s="55">
        <v>271</v>
      </c>
      <c r="Z99" s="13">
        <f t="shared" si="26"/>
        <v>0.15391568113863188</v>
      </c>
      <c r="AB99" s="27">
        <v>5</v>
      </c>
      <c r="AD99" s="5"/>
      <c r="AE99" s="28"/>
      <c r="AF99" s="3"/>
      <c r="AH99" s="5"/>
      <c r="AI99" s="2">
        <v>600</v>
      </c>
      <c r="AJ99" s="7">
        <f t="shared" si="27"/>
        <v>3.78E-2</v>
      </c>
      <c r="AK99" s="8">
        <f t="shared" si="28"/>
        <v>9.5200000000000007E-2</v>
      </c>
      <c r="AL99" s="56">
        <f t="shared" si="29"/>
        <v>1.0199999999999999E-2</v>
      </c>
      <c r="AM99" s="9">
        <f t="shared" si="30"/>
        <v>1.2800000000000001E-2</v>
      </c>
      <c r="AN99" s="5"/>
      <c r="AO99" s="91"/>
      <c r="AP99" s="5"/>
      <c r="AQ99" s="96"/>
      <c r="AR99" s="5"/>
      <c r="AS99" s="30"/>
      <c r="AT99" s="31"/>
      <c r="AU99" s="32"/>
      <c r="BK99" s="5"/>
    </row>
    <row r="100" spans="1:63" thickTop="1" thickBot="1" x14ac:dyDescent="0.3">
      <c r="A100" s="15">
        <v>446</v>
      </c>
      <c r="B100" s="16">
        <v>45</v>
      </c>
      <c r="C100" s="16">
        <v>6</v>
      </c>
      <c r="D100" s="17"/>
      <c r="E100" s="1">
        <v>134</v>
      </c>
      <c r="F100" s="1">
        <v>11</v>
      </c>
      <c r="G100" s="18">
        <f t="shared" si="24"/>
        <v>123</v>
      </c>
      <c r="H100" s="17"/>
      <c r="I100" s="19">
        <v>10</v>
      </c>
      <c r="J100" s="3">
        <f t="shared" si="31"/>
        <v>-22.957317073170714</v>
      </c>
      <c r="K100" s="20">
        <f t="shared" si="25"/>
        <v>186</v>
      </c>
      <c r="L100" s="17"/>
      <c r="N100" s="17"/>
      <c r="O100" s="8">
        <v>0.11</v>
      </c>
      <c r="P100" s="9">
        <v>2.5000000000000001E-2</v>
      </c>
      <c r="Q100" s="17"/>
      <c r="R100" s="10">
        <v>94</v>
      </c>
      <c r="S100" s="11">
        <v>29</v>
      </c>
      <c r="T100" s="12">
        <v>1600</v>
      </c>
      <c r="U100" s="17"/>
      <c r="V100" s="7">
        <v>564</v>
      </c>
      <c r="W100" s="13">
        <f t="shared" si="23"/>
        <v>14.755693696126276</v>
      </c>
      <c r="Y100" s="56">
        <v>416</v>
      </c>
      <c r="Z100" s="13">
        <f t="shared" si="26"/>
        <v>0.14967914401761576</v>
      </c>
      <c r="AB100" s="72">
        <v>10</v>
      </c>
      <c r="AE100" s="8">
        <f>(O100*AB100+O101*AB101+O102*AB102)/100</f>
        <v>0.31209999999999999</v>
      </c>
      <c r="AF100" s="3">
        <f>225-5.625*($B100-0.5)</f>
        <v>-25.3125</v>
      </c>
      <c r="AG100">
        <f>K100</f>
        <v>186</v>
      </c>
      <c r="AI100" s="2">
        <v>600</v>
      </c>
      <c r="AJ100" s="7">
        <f t="shared" si="27"/>
        <v>5.6399999999999999E-2</v>
      </c>
      <c r="AK100" s="8">
        <f t="shared" si="28"/>
        <v>5.3600000000000002E-2</v>
      </c>
      <c r="AL100" s="56">
        <f t="shared" si="29"/>
        <v>1.7399999999999999E-2</v>
      </c>
      <c r="AM100" s="9">
        <f t="shared" si="30"/>
        <v>7.6000000000000026E-3</v>
      </c>
      <c r="AO100" s="90">
        <f>($AB100*AK100+$AB101*AK101+$AB102*AK102)/100</f>
        <v>0.22561</v>
      </c>
      <c r="AQ100" s="95">
        <f>($AB100*AM100+$AB101*AM101+$AB102*AM102)/100</f>
        <v>1.9969999999999998E-2</v>
      </c>
      <c r="AS100" s="10">
        <f>($AB100*R100+$AB101*R101+$AB102*R102)/100</f>
        <v>124.9</v>
      </c>
      <c r="AT100" s="11">
        <f>($AB100*S100+$AB101*S101+$AB102*S102)/100</f>
        <v>27.6</v>
      </c>
      <c r="AU100" s="12">
        <f>($AB100*T100+$AB101*T101+$AB102*T102)/100</f>
        <v>1010</v>
      </c>
    </row>
    <row r="101" spans="1:63" thickTop="1" thickBot="1" x14ac:dyDescent="0.3">
      <c r="A101" s="4">
        <v>446</v>
      </c>
      <c r="B101" s="2">
        <v>45</v>
      </c>
      <c r="C101" s="2">
        <v>6</v>
      </c>
      <c r="E101" s="1">
        <v>134</v>
      </c>
      <c r="F101" s="1">
        <v>11</v>
      </c>
      <c r="G101" s="3">
        <f t="shared" si="24"/>
        <v>123</v>
      </c>
      <c r="I101" s="2">
        <v>62</v>
      </c>
      <c r="J101" s="3">
        <f t="shared" si="31"/>
        <v>-25.335365853658544</v>
      </c>
      <c r="K101" s="6">
        <f t="shared" si="25"/>
        <v>186</v>
      </c>
      <c r="O101" s="8">
        <v>0.35899999999999999</v>
      </c>
      <c r="P101" s="9">
        <v>4.3999999999999997E-2</v>
      </c>
      <c r="R101" s="10">
        <v>139</v>
      </c>
      <c r="S101" s="11">
        <v>29</v>
      </c>
      <c r="T101" s="12">
        <v>1000</v>
      </c>
      <c r="V101" s="7">
        <v>1518</v>
      </c>
      <c r="W101" s="13">
        <f t="shared" si="23"/>
        <v>14.373156065501671</v>
      </c>
      <c r="Y101" s="56">
        <v>534</v>
      </c>
      <c r="Z101" s="13">
        <f t="shared" si="26"/>
        <v>0.14789408093642548</v>
      </c>
      <c r="AB101" s="72">
        <v>80</v>
      </c>
      <c r="AI101" s="2">
        <v>700</v>
      </c>
      <c r="AJ101" s="7">
        <f t="shared" si="27"/>
        <v>9.7299999999999998E-2</v>
      </c>
      <c r="AK101" s="8">
        <f t="shared" si="28"/>
        <v>0.26169999999999999</v>
      </c>
      <c r="AL101" s="56">
        <f t="shared" si="29"/>
        <v>2.0299999999999999E-2</v>
      </c>
      <c r="AM101" s="9">
        <f t="shared" si="30"/>
        <v>2.3699999999999999E-2</v>
      </c>
    </row>
    <row r="102" spans="1:63" s="27" customFormat="1" thickTop="1" thickBot="1" x14ac:dyDescent="0.3">
      <c r="A102" s="21">
        <v>446</v>
      </c>
      <c r="B102" s="22">
        <v>45</v>
      </c>
      <c r="C102" s="22">
        <v>6</v>
      </c>
      <c r="D102" s="23"/>
      <c r="E102" s="24">
        <v>134</v>
      </c>
      <c r="F102" s="24">
        <v>11</v>
      </c>
      <c r="G102" s="25">
        <f t="shared" si="24"/>
        <v>123</v>
      </c>
      <c r="H102" s="23"/>
      <c r="I102" s="22">
        <v>113</v>
      </c>
      <c r="J102" s="3">
        <f t="shared" si="31"/>
        <v>-27.667682926829286</v>
      </c>
      <c r="K102" s="26">
        <f t="shared" si="25"/>
        <v>186</v>
      </c>
      <c r="L102" s="23"/>
      <c r="N102" s="23"/>
      <c r="O102" s="28">
        <v>0.13900000000000001</v>
      </c>
      <c r="P102" s="29">
        <v>1.2999999999999999E-2</v>
      </c>
      <c r="Q102" s="23"/>
      <c r="R102" s="30">
        <v>43</v>
      </c>
      <c r="S102" s="31">
        <v>15</v>
      </c>
      <c r="T102" s="32">
        <v>500</v>
      </c>
      <c r="U102" s="23"/>
      <c r="V102" s="33">
        <v>526</v>
      </c>
      <c r="W102" s="75">
        <f t="shared" si="23"/>
        <v>14.799033983476978</v>
      </c>
      <c r="X102" s="5"/>
      <c r="Y102" s="55">
        <v>0</v>
      </c>
      <c r="Z102" s="13" t="e">
        <f t="shared" si="26"/>
        <v>#DIV/0!</v>
      </c>
      <c r="AB102" s="27">
        <v>10</v>
      </c>
      <c r="AD102" s="5"/>
      <c r="AE102" s="28"/>
      <c r="AF102" s="3"/>
      <c r="AH102" s="5"/>
      <c r="AI102" s="2">
        <v>700</v>
      </c>
      <c r="AJ102" s="7">
        <f t="shared" si="27"/>
        <v>3.0099999999999998E-2</v>
      </c>
      <c r="AK102" s="8">
        <f t="shared" si="28"/>
        <v>0.10890000000000001</v>
      </c>
      <c r="AL102" s="56">
        <f t="shared" si="29"/>
        <v>1.0499999999999999E-2</v>
      </c>
      <c r="AM102" s="9">
        <f t="shared" si="30"/>
        <v>2.5000000000000005E-3</v>
      </c>
      <c r="AN102" s="5"/>
      <c r="AO102" s="91"/>
      <c r="AP102" s="5"/>
      <c r="AQ102" s="96"/>
      <c r="AR102" s="5"/>
      <c r="AS102" s="30"/>
      <c r="AT102" s="31"/>
      <c r="AU102" s="32"/>
      <c r="BK102" s="5"/>
    </row>
    <row r="103" spans="1:63" thickTop="1" thickBot="1" x14ac:dyDescent="0.3">
      <c r="A103" s="15">
        <v>455</v>
      </c>
      <c r="B103" s="16">
        <v>46</v>
      </c>
      <c r="C103" s="16">
        <v>5</v>
      </c>
      <c r="D103" s="17"/>
      <c r="E103" s="1">
        <v>136</v>
      </c>
      <c r="F103" s="1">
        <v>14</v>
      </c>
      <c r="G103" s="18">
        <f t="shared" si="24"/>
        <v>122</v>
      </c>
      <c r="H103" s="17"/>
      <c r="I103" s="19">
        <v>10</v>
      </c>
      <c r="J103" s="3">
        <f t="shared" si="31"/>
        <v>-28.586065573770469</v>
      </c>
      <c r="K103" s="20">
        <f t="shared" si="25"/>
        <v>174</v>
      </c>
      <c r="L103" s="17"/>
      <c r="N103" s="17"/>
      <c r="O103" s="8">
        <v>0.123</v>
      </c>
      <c r="P103" s="9">
        <v>2.9000000000000001E-2</v>
      </c>
      <c r="Q103" s="17"/>
      <c r="R103" s="10">
        <v>76</v>
      </c>
      <c r="S103" s="11">
        <v>29</v>
      </c>
      <c r="T103" s="12">
        <v>1100</v>
      </c>
      <c r="U103" s="17"/>
      <c r="V103" s="7">
        <v>166</v>
      </c>
      <c r="W103" s="13">
        <f t="shared" si="23"/>
        <v>16.131985738135953</v>
      </c>
      <c r="Y103" s="56">
        <v>0</v>
      </c>
      <c r="Z103" s="13" t="e">
        <f t="shared" si="26"/>
        <v>#DIV/0!</v>
      </c>
      <c r="AB103" s="72">
        <v>10</v>
      </c>
      <c r="AE103" s="8">
        <f>(O103*AB103+O104*AB104+O105*AB105)/100</f>
        <v>0.21660000000000001</v>
      </c>
      <c r="AF103" s="3">
        <f>225-5.625*($B103-0.5)</f>
        <v>-30.9375</v>
      </c>
      <c r="AG103">
        <f>K103</f>
        <v>174</v>
      </c>
      <c r="AI103" s="2">
        <v>700</v>
      </c>
      <c r="AJ103" s="7">
        <f t="shared" si="27"/>
        <v>5.3199999999999997E-2</v>
      </c>
      <c r="AK103" s="8">
        <f t="shared" si="28"/>
        <v>6.9800000000000001E-2</v>
      </c>
      <c r="AL103" s="56">
        <f t="shared" si="29"/>
        <v>2.0299999999999999E-2</v>
      </c>
      <c r="AM103" s="9">
        <f t="shared" si="30"/>
        <v>8.7000000000000029E-3</v>
      </c>
      <c r="AO103" s="90">
        <f>($AB103*AK103+$AB104*AK104+$AB105*AK105)/100</f>
        <v>0.12854000000000002</v>
      </c>
      <c r="AQ103" s="95">
        <f>($AB103*AM103+$AB104*AM104+$AB105*AM105)/100</f>
        <v>2.5150000000000002E-2</v>
      </c>
      <c r="AS103" s="10">
        <f>($AB103*R103+$AB104*R104+$AB105*R105)/100</f>
        <v>125.8</v>
      </c>
      <c r="AT103" s="11">
        <f>($AB103*S103+$AB104*S104+$AB105*S105)/100</f>
        <v>23.5</v>
      </c>
      <c r="AU103" s="12">
        <f>($AB103*T103+$AB104*T104+$AB105*T105)/100</f>
        <v>850</v>
      </c>
    </row>
    <row r="104" spans="1:63" thickTop="1" thickBot="1" x14ac:dyDescent="0.3">
      <c r="A104" s="4">
        <v>455</v>
      </c>
      <c r="B104" s="93">
        <v>46</v>
      </c>
      <c r="C104" s="93">
        <v>5</v>
      </c>
      <c r="E104" s="1">
        <v>136</v>
      </c>
      <c r="F104" s="1">
        <v>14</v>
      </c>
      <c r="G104" s="3">
        <f t="shared" si="24"/>
        <v>122</v>
      </c>
      <c r="I104" s="2">
        <v>61</v>
      </c>
      <c r="J104" s="3">
        <f t="shared" si="31"/>
        <v>-30.9375</v>
      </c>
      <c r="K104" s="6">
        <f t="shared" si="25"/>
        <v>174</v>
      </c>
      <c r="O104" s="8">
        <v>0.217</v>
      </c>
      <c r="P104" s="9">
        <v>4.2999999999999997E-2</v>
      </c>
      <c r="R104" s="10">
        <v>138</v>
      </c>
      <c r="S104" s="11">
        <v>20</v>
      </c>
      <c r="T104" s="12">
        <v>800</v>
      </c>
      <c r="V104" s="7">
        <v>292</v>
      </c>
      <c r="W104" s="13">
        <f t="shared" si="23"/>
        <v>15.305115985920063</v>
      </c>
      <c r="Y104" s="56">
        <v>179</v>
      </c>
      <c r="Z104" s="13">
        <f t="shared" si="26"/>
        <v>0.15995809507108716</v>
      </c>
      <c r="AB104" s="72">
        <v>80</v>
      </c>
      <c r="AI104" s="2">
        <v>700</v>
      </c>
      <c r="AJ104" s="7">
        <f t="shared" si="27"/>
        <v>9.6599999999999991E-2</v>
      </c>
      <c r="AK104" s="8">
        <f t="shared" si="28"/>
        <v>0.12040000000000001</v>
      </c>
      <c r="AL104" s="56">
        <f t="shared" si="29"/>
        <v>1.3999999999999999E-2</v>
      </c>
      <c r="AM104" s="9">
        <f t="shared" si="30"/>
        <v>2.8999999999999998E-2</v>
      </c>
    </row>
    <row r="105" spans="1:63" s="27" customFormat="1" thickTop="1" thickBot="1" x14ac:dyDescent="0.3">
      <c r="A105" s="21">
        <v>455</v>
      </c>
      <c r="B105" s="22">
        <v>46</v>
      </c>
      <c r="C105" s="22">
        <v>5</v>
      </c>
      <c r="D105" s="23"/>
      <c r="E105" s="24">
        <v>136</v>
      </c>
      <c r="F105" s="24">
        <v>14</v>
      </c>
      <c r="G105" s="25">
        <f t="shared" si="24"/>
        <v>122</v>
      </c>
      <c r="H105" s="23"/>
      <c r="I105" s="22">
        <v>112</v>
      </c>
      <c r="J105" s="3">
        <f t="shared" si="31"/>
        <v>-33.288934426229503</v>
      </c>
      <c r="K105" s="26">
        <f t="shared" si="25"/>
        <v>174</v>
      </c>
      <c r="L105" s="23"/>
      <c r="N105" s="23"/>
      <c r="O105" s="28">
        <v>0.307</v>
      </c>
      <c r="P105" s="29">
        <v>4.2999999999999997E-2</v>
      </c>
      <c r="Q105" s="23"/>
      <c r="R105" s="30">
        <v>78</v>
      </c>
      <c r="S105" s="31">
        <v>46</v>
      </c>
      <c r="T105" s="32">
        <v>1000</v>
      </c>
      <c r="U105" s="23"/>
      <c r="V105" s="33">
        <v>380</v>
      </c>
      <c r="W105" s="75">
        <f t="shared" si="23"/>
        <v>15.043795713638373</v>
      </c>
      <c r="X105" s="5"/>
      <c r="Y105" s="55">
        <v>0</v>
      </c>
      <c r="Z105" s="13" t="e">
        <f t="shared" si="26"/>
        <v>#DIV/0!</v>
      </c>
      <c r="AB105" s="27">
        <v>10</v>
      </c>
      <c r="AD105" s="5"/>
      <c r="AE105" s="28"/>
      <c r="AF105" s="3"/>
      <c r="AH105" s="5"/>
      <c r="AI105" s="2">
        <v>700</v>
      </c>
      <c r="AJ105" s="7">
        <f t="shared" si="27"/>
        <v>5.4599999999999996E-2</v>
      </c>
      <c r="AK105" s="8">
        <f t="shared" si="28"/>
        <v>0.25240000000000001</v>
      </c>
      <c r="AL105" s="56">
        <f t="shared" si="29"/>
        <v>3.2199999999999999E-2</v>
      </c>
      <c r="AM105" s="9">
        <f t="shared" si="30"/>
        <v>1.0799999999999997E-2</v>
      </c>
      <c r="AN105" s="5"/>
      <c r="AO105" s="91"/>
      <c r="AP105" s="5"/>
      <c r="AQ105" s="96"/>
      <c r="AR105" s="5"/>
      <c r="AS105" s="30"/>
      <c r="AT105" s="31"/>
      <c r="AU105" s="32"/>
      <c r="BK105" s="5"/>
    </row>
    <row r="106" spans="1:63" thickTop="1" thickBot="1" x14ac:dyDescent="0.3">
      <c r="A106" s="15">
        <v>456</v>
      </c>
      <c r="B106" s="16">
        <v>46</v>
      </c>
      <c r="C106" s="16">
        <v>6</v>
      </c>
      <c r="D106" s="17"/>
      <c r="E106" s="1">
        <v>136</v>
      </c>
      <c r="F106" s="1">
        <v>10</v>
      </c>
      <c r="G106" s="18">
        <f t="shared" si="24"/>
        <v>126</v>
      </c>
      <c r="H106" s="17"/>
      <c r="I106" s="19">
        <v>10</v>
      </c>
      <c r="J106" s="3">
        <f t="shared" si="31"/>
        <v>-28.571428571428584</v>
      </c>
      <c r="K106" s="20">
        <f t="shared" si="25"/>
        <v>186</v>
      </c>
      <c r="L106" s="17"/>
      <c r="N106" s="17"/>
      <c r="O106" s="8">
        <v>7.0000000000000007E-2</v>
      </c>
      <c r="P106" s="9">
        <v>3.2000000000000001E-2</v>
      </c>
      <c r="Q106" s="17"/>
      <c r="R106" s="10">
        <v>57</v>
      </c>
      <c r="S106" s="11">
        <v>19</v>
      </c>
      <c r="T106" s="12">
        <v>600</v>
      </c>
      <c r="U106" s="17"/>
      <c r="V106" s="7">
        <v>116</v>
      </c>
      <c r="W106" s="13">
        <f t="shared" si="23"/>
        <v>16.917650444187696</v>
      </c>
      <c r="Y106" s="56">
        <v>163</v>
      </c>
      <c r="Z106" s="13">
        <f t="shared" si="26"/>
        <v>0.16166313533132215</v>
      </c>
      <c r="AB106" s="72">
        <v>5</v>
      </c>
      <c r="AE106" s="8">
        <f>(O106*AB106+O107*AB107+O108*AB108)/100</f>
        <v>0.1837</v>
      </c>
      <c r="AF106" s="3">
        <f>225-5.625*($B106-0.5)</f>
        <v>-30.9375</v>
      </c>
      <c r="AG106">
        <f>K106</f>
        <v>186</v>
      </c>
      <c r="AI106" s="2">
        <v>700</v>
      </c>
      <c r="AJ106" s="7">
        <f t="shared" si="27"/>
        <v>3.9899999999999998E-2</v>
      </c>
      <c r="AK106" s="8">
        <f t="shared" si="28"/>
        <v>3.0100000000000009E-2</v>
      </c>
      <c r="AL106" s="56">
        <f t="shared" si="29"/>
        <v>1.3299999999999999E-2</v>
      </c>
      <c r="AM106" s="9">
        <f t="shared" si="30"/>
        <v>1.8700000000000001E-2</v>
      </c>
      <c r="AO106" s="90">
        <f>($AB106*AK106+$AB107*AK107+$AB108*AK108)/100</f>
        <v>0.14655499999999999</v>
      </c>
      <c r="AQ106" s="95">
        <f>($AB106*AM106+$AB107*AM107+$AB108*AM108)/100</f>
        <v>3.1655000000000003E-2</v>
      </c>
      <c r="AS106" s="10">
        <f>($AB106*R106+$AB107*R107+$AB108*R108)/100</f>
        <v>71.349999999999994</v>
      </c>
      <c r="AT106" s="11">
        <f>($AB106*S106+$AB107*S107+$AB108*S108)/100</f>
        <v>12.95</v>
      </c>
      <c r="AU106" s="12">
        <f>($AB106*T106+$AB107*T107+$AB108*T108)/100</f>
        <v>610</v>
      </c>
    </row>
    <row r="107" spans="1:63" thickTop="1" thickBot="1" x14ac:dyDescent="0.3">
      <c r="A107" s="4">
        <v>456</v>
      </c>
      <c r="B107" s="93">
        <v>46</v>
      </c>
      <c r="C107" s="93">
        <v>6</v>
      </c>
      <c r="E107" s="1">
        <v>136</v>
      </c>
      <c r="F107" s="1">
        <v>10</v>
      </c>
      <c r="G107" s="3">
        <f t="shared" si="24"/>
        <v>126</v>
      </c>
      <c r="I107" s="2">
        <v>63</v>
      </c>
      <c r="J107" s="3">
        <f t="shared" si="31"/>
        <v>-30.9375</v>
      </c>
      <c r="K107" s="6">
        <f t="shared" si="25"/>
        <v>186</v>
      </c>
      <c r="O107" s="8">
        <v>0.192</v>
      </c>
      <c r="P107" s="9">
        <v>0.04</v>
      </c>
      <c r="R107" s="10">
        <v>70</v>
      </c>
      <c r="S107" s="11">
        <v>12</v>
      </c>
      <c r="T107" s="12">
        <v>600</v>
      </c>
      <c r="V107" s="7">
        <v>265</v>
      </c>
      <c r="W107" s="13">
        <f t="shared" si="23"/>
        <v>15.4186850625014</v>
      </c>
      <c r="Y107" s="56">
        <v>157</v>
      </c>
      <c r="Z107" s="13">
        <f t="shared" si="26"/>
        <v>0.16238665816991357</v>
      </c>
      <c r="AB107" s="72">
        <v>85</v>
      </c>
      <c r="AI107" s="2">
        <v>500</v>
      </c>
      <c r="AJ107" s="7">
        <f t="shared" si="27"/>
        <v>3.4999999999999996E-2</v>
      </c>
      <c r="AK107" s="8">
        <f t="shared" si="28"/>
        <v>0.157</v>
      </c>
      <c r="AL107" s="56">
        <f t="shared" si="29"/>
        <v>6.0000000000000001E-3</v>
      </c>
      <c r="AM107" s="9">
        <f t="shared" si="30"/>
        <v>3.4000000000000002E-2</v>
      </c>
    </row>
    <row r="108" spans="1:63" s="27" customFormat="1" thickTop="1" thickBot="1" x14ac:dyDescent="0.3">
      <c r="A108" s="21">
        <v>456</v>
      </c>
      <c r="B108" s="22">
        <v>46</v>
      </c>
      <c r="C108" s="22">
        <v>6</v>
      </c>
      <c r="D108" s="23"/>
      <c r="E108" s="24">
        <v>136</v>
      </c>
      <c r="F108" s="24">
        <v>10</v>
      </c>
      <c r="G108" s="25">
        <f t="shared" si="24"/>
        <v>126</v>
      </c>
      <c r="H108" s="23"/>
      <c r="I108" s="22">
        <v>116</v>
      </c>
      <c r="J108" s="3">
        <f t="shared" si="31"/>
        <v>-33.303571428571388</v>
      </c>
      <c r="K108" s="26">
        <f t="shared" si="25"/>
        <v>186</v>
      </c>
      <c r="L108" s="23"/>
      <c r="N108" s="23"/>
      <c r="O108" s="28">
        <v>0.17</v>
      </c>
      <c r="P108" s="29">
        <v>2.9000000000000001E-2</v>
      </c>
      <c r="Q108" s="23"/>
      <c r="R108" s="30">
        <v>90</v>
      </c>
      <c r="S108" s="31">
        <v>18</v>
      </c>
      <c r="T108" s="32">
        <v>700</v>
      </c>
      <c r="U108" s="23"/>
      <c r="V108" s="33">
        <v>235</v>
      </c>
      <c r="W108" s="75">
        <f t="shared" si="23"/>
        <v>15.57411928454902</v>
      </c>
      <c r="X108" s="5"/>
      <c r="Y108" s="55">
        <v>145</v>
      </c>
      <c r="Z108" s="13">
        <f t="shared" si="26"/>
        <v>0.1640016820771602</v>
      </c>
      <c r="AB108" s="27">
        <v>10</v>
      </c>
      <c r="AD108" s="5"/>
      <c r="AE108" s="28"/>
      <c r="AF108" s="3"/>
      <c r="AH108" s="5"/>
      <c r="AI108" s="2">
        <v>600</v>
      </c>
      <c r="AJ108" s="7">
        <f t="shared" si="27"/>
        <v>5.3999999999999999E-2</v>
      </c>
      <c r="AK108" s="8">
        <f t="shared" si="28"/>
        <v>0.11600000000000002</v>
      </c>
      <c r="AL108" s="56">
        <f t="shared" si="29"/>
        <v>1.0799999999999999E-2</v>
      </c>
      <c r="AM108" s="9">
        <f t="shared" si="30"/>
        <v>1.8200000000000001E-2</v>
      </c>
      <c r="AN108" s="5"/>
      <c r="AO108" s="91"/>
      <c r="AP108" s="5"/>
      <c r="AQ108" s="96"/>
      <c r="AR108" s="5"/>
      <c r="AS108" s="30"/>
      <c r="AT108" s="31"/>
      <c r="AU108" s="32"/>
      <c r="BK108" s="5"/>
    </row>
    <row r="109" spans="1:63" thickTop="1" thickBot="1" x14ac:dyDescent="0.3">
      <c r="A109" s="15">
        <v>465</v>
      </c>
      <c r="B109" s="16">
        <v>47</v>
      </c>
      <c r="C109" s="16">
        <v>5</v>
      </c>
      <c r="D109" s="17"/>
      <c r="E109" s="1">
        <v>136</v>
      </c>
      <c r="F109" s="1">
        <v>14</v>
      </c>
      <c r="G109" s="18">
        <f t="shared" si="24"/>
        <v>122</v>
      </c>
      <c r="H109" s="17"/>
      <c r="I109" s="16">
        <v>9</v>
      </c>
      <c r="J109" s="3">
        <f t="shared" si="31"/>
        <v>-34.164959016393425</v>
      </c>
      <c r="K109" s="20">
        <f t="shared" si="25"/>
        <v>174</v>
      </c>
      <c r="L109" s="17"/>
      <c r="N109" s="17"/>
      <c r="O109" s="8">
        <v>0.13100000000000001</v>
      </c>
      <c r="P109" s="9">
        <v>4.2000000000000003E-2</v>
      </c>
      <c r="Q109" s="17"/>
      <c r="R109" s="10">
        <v>121</v>
      </c>
      <c r="S109" s="11">
        <v>15</v>
      </c>
      <c r="T109" s="12">
        <v>700</v>
      </c>
      <c r="U109" s="17"/>
      <c r="V109" s="7">
        <v>200</v>
      </c>
      <c r="W109" s="13">
        <f t="shared" si="23"/>
        <v>15.811388300841896</v>
      </c>
      <c r="Y109" s="56">
        <v>166</v>
      </c>
      <c r="Z109" s="13">
        <f t="shared" si="26"/>
        <v>0.16131985738135951</v>
      </c>
      <c r="AB109">
        <f t="shared" ref="AB109:AB114" si="32">100/6</f>
        <v>16.666666666666668</v>
      </c>
      <c r="AE109" s="8">
        <f>(O109*AB109+O110*AB110+O111*AB111+O112*AB112+O113*AB113+O114*AB114)/100</f>
        <v>0.17150000000000001</v>
      </c>
      <c r="AF109" s="3">
        <f>225-5.625*($B109-0.5)</f>
        <v>-36.5625</v>
      </c>
      <c r="AG109">
        <f>K109</f>
        <v>174</v>
      </c>
      <c r="AI109" s="2">
        <v>700</v>
      </c>
      <c r="AJ109" s="7">
        <f t="shared" si="27"/>
        <v>8.4699999999999998E-2</v>
      </c>
      <c r="AK109" s="8">
        <f t="shared" si="28"/>
        <v>4.6300000000000008E-2</v>
      </c>
      <c r="AL109" s="56">
        <f t="shared" si="29"/>
        <v>1.0499999999999999E-2</v>
      </c>
      <c r="AM109" s="9">
        <f t="shared" si="30"/>
        <v>3.15E-2</v>
      </c>
      <c r="AO109" s="90">
        <f>($AB109*AK109+$AB110*AK110+$AB111*AK111+$AB112*AK112+$AB113*AK113+$AB114*AK114)/100</f>
        <v>9.4716666666666671E-2</v>
      </c>
      <c r="AQ109" s="95">
        <f>($AB109*AM109+$AB110*AM110+$AB111*AM111+$AB112*AM112+$AB113*AM113+$AB114*AM114)/100</f>
        <v>2.3908333333333337E-2</v>
      </c>
      <c r="AS109" s="10">
        <f>($AB109*R109+$AB110*R110+$AB111*R111+$AB112*R112+$AB113*R113+$AB114*R114)/100</f>
        <v>103.16666666666666</v>
      </c>
      <c r="AT109" s="11">
        <f>($AB109*S109+$AB110*S110+$AB111*S111+$AB112*S112+$AB113*S113+$AB114*S114)/100</f>
        <v>23</v>
      </c>
      <c r="AU109" s="12">
        <f>($AB109*T109+$AB110*T110+$AB111*T111+$AB112*T112+$AB113*T113+$AB114*T114)/100</f>
        <v>833.33333333333348</v>
      </c>
    </row>
    <row r="110" spans="1:63" thickTop="1" thickBot="1" x14ac:dyDescent="0.3">
      <c r="A110" s="4">
        <v>465</v>
      </c>
      <c r="B110" s="93">
        <v>47</v>
      </c>
      <c r="C110" s="93">
        <v>5</v>
      </c>
      <c r="E110" s="1">
        <v>136</v>
      </c>
      <c r="F110" s="1">
        <v>14</v>
      </c>
      <c r="G110" s="3">
        <f t="shared" si="24"/>
        <v>122</v>
      </c>
      <c r="I110" s="2">
        <v>29</v>
      </c>
      <c r="J110" s="3">
        <f t="shared" si="31"/>
        <v>-35.08709016393442</v>
      </c>
      <c r="K110" s="6">
        <f t="shared" si="25"/>
        <v>174</v>
      </c>
      <c r="O110" s="8">
        <v>0.14799999999999999</v>
      </c>
      <c r="P110" s="9">
        <v>4.1000000000000002E-2</v>
      </c>
      <c r="R110" s="10">
        <v>103</v>
      </c>
      <c r="S110" s="11">
        <v>20</v>
      </c>
      <c r="T110" s="12">
        <v>850</v>
      </c>
      <c r="V110" s="7">
        <v>174</v>
      </c>
      <c r="W110" s="13">
        <f t="shared" si="23"/>
        <v>16.045911141715081</v>
      </c>
      <c r="Y110" s="56">
        <v>128</v>
      </c>
      <c r="Z110" s="13">
        <f t="shared" si="26"/>
        <v>0.16677080080157919</v>
      </c>
      <c r="AB110">
        <f t="shared" si="32"/>
        <v>16.666666666666668</v>
      </c>
      <c r="AI110" s="2">
        <v>700</v>
      </c>
      <c r="AJ110" s="7">
        <f t="shared" si="27"/>
        <v>7.2099999999999997E-2</v>
      </c>
      <c r="AK110" s="8">
        <f t="shared" si="28"/>
        <v>7.5899999999999995E-2</v>
      </c>
      <c r="AL110" s="56">
        <f t="shared" si="29"/>
        <v>1.3999999999999999E-2</v>
      </c>
      <c r="AM110" s="9">
        <f t="shared" si="30"/>
        <v>2.7000000000000003E-2</v>
      </c>
    </row>
    <row r="111" spans="1:63" thickTop="1" thickBot="1" x14ac:dyDescent="0.3">
      <c r="A111" s="4">
        <v>465</v>
      </c>
      <c r="B111" s="2">
        <v>47</v>
      </c>
      <c r="C111" s="2">
        <v>5</v>
      </c>
      <c r="E111" s="1">
        <v>136</v>
      </c>
      <c r="F111" s="1">
        <v>14</v>
      </c>
      <c r="G111" s="3">
        <f t="shared" si="24"/>
        <v>122</v>
      </c>
      <c r="I111" s="2">
        <v>49</v>
      </c>
      <c r="J111" s="3">
        <f t="shared" si="31"/>
        <v>-36.009221311475414</v>
      </c>
      <c r="K111" s="6">
        <f t="shared" si="25"/>
        <v>174</v>
      </c>
      <c r="O111" s="8">
        <v>0.161</v>
      </c>
      <c r="P111" s="9">
        <v>0.04</v>
      </c>
      <c r="R111" s="10">
        <v>102</v>
      </c>
      <c r="S111" s="11">
        <v>19</v>
      </c>
      <c r="T111" s="12">
        <v>750</v>
      </c>
      <c r="V111" s="7">
        <v>178</v>
      </c>
      <c r="W111" s="13">
        <f t="shared" si="23"/>
        <v>16.005616991572019</v>
      </c>
      <c r="Y111" s="56">
        <v>135</v>
      </c>
      <c r="Z111" s="13">
        <f t="shared" si="26"/>
        <v>0.16555182695279266</v>
      </c>
      <c r="AB111">
        <f t="shared" si="32"/>
        <v>16.666666666666668</v>
      </c>
      <c r="AI111" s="2">
        <v>800</v>
      </c>
      <c r="AJ111" s="7">
        <f t="shared" si="27"/>
        <v>8.1599999999999992E-2</v>
      </c>
      <c r="AK111" s="8">
        <f t="shared" si="28"/>
        <v>7.9400000000000012E-2</v>
      </c>
      <c r="AL111" s="56">
        <f t="shared" si="29"/>
        <v>1.52E-2</v>
      </c>
      <c r="AM111" s="9">
        <f t="shared" si="30"/>
        <v>2.4800000000000003E-2</v>
      </c>
    </row>
    <row r="112" spans="1:63" thickTop="1" thickBot="1" x14ac:dyDescent="0.3">
      <c r="A112" s="4">
        <v>465</v>
      </c>
      <c r="B112" s="93">
        <v>47</v>
      </c>
      <c r="C112" s="93">
        <v>5</v>
      </c>
      <c r="E112" s="1">
        <v>136</v>
      </c>
      <c r="F112" s="1">
        <v>14</v>
      </c>
      <c r="G112" s="3">
        <f t="shared" si="24"/>
        <v>122</v>
      </c>
      <c r="I112" s="2">
        <v>69</v>
      </c>
      <c r="J112" s="3">
        <f t="shared" si="31"/>
        <v>-36.931352459016409</v>
      </c>
      <c r="K112" s="6">
        <f t="shared" si="25"/>
        <v>174</v>
      </c>
      <c r="O112" s="8">
        <v>0.158</v>
      </c>
      <c r="P112" s="9">
        <v>4.2999999999999997E-2</v>
      </c>
      <c r="R112" s="10">
        <v>102</v>
      </c>
      <c r="S112" s="11">
        <v>27</v>
      </c>
      <c r="T112" s="12">
        <v>800</v>
      </c>
      <c r="V112" s="7">
        <v>161</v>
      </c>
      <c r="W112" s="13">
        <f t="shared" si="23"/>
        <v>16.189867239796506</v>
      </c>
      <c r="Y112" s="56">
        <v>165</v>
      </c>
      <c r="Z112" s="13">
        <f t="shared" si="26"/>
        <v>0.16143297699232975</v>
      </c>
      <c r="AB112">
        <f t="shared" si="32"/>
        <v>16.666666666666668</v>
      </c>
      <c r="AI112" s="2">
        <v>750</v>
      </c>
      <c r="AJ112" s="7">
        <f t="shared" si="27"/>
        <v>7.6499999999999999E-2</v>
      </c>
      <c r="AK112" s="8">
        <f t="shared" si="28"/>
        <v>8.1500000000000003E-2</v>
      </c>
      <c r="AL112" s="56">
        <f t="shared" si="29"/>
        <v>2.0250000000000001E-2</v>
      </c>
      <c r="AM112" s="9">
        <f t="shared" si="30"/>
        <v>2.2749999999999996E-2</v>
      </c>
    </row>
    <row r="113" spans="1:63" thickTop="1" thickBot="1" x14ac:dyDescent="0.3">
      <c r="A113" s="4">
        <v>465</v>
      </c>
      <c r="B113" s="93">
        <v>47</v>
      </c>
      <c r="C113" s="93">
        <v>5</v>
      </c>
      <c r="E113" s="1">
        <v>136</v>
      </c>
      <c r="F113" s="1">
        <v>14</v>
      </c>
      <c r="G113" s="3">
        <f t="shared" si="24"/>
        <v>122</v>
      </c>
      <c r="I113" s="2">
        <v>89</v>
      </c>
      <c r="J113" s="3">
        <f t="shared" si="31"/>
        <v>-37.853483606557404</v>
      </c>
      <c r="K113" s="6">
        <f t="shared" si="25"/>
        <v>174</v>
      </c>
      <c r="O113" s="8">
        <v>0.245</v>
      </c>
      <c r="P113" s="9">
        <v>0.04</v>
      </c>
      <c r="R113" s="10">
        <v>121</v>
      </c>
      <c r="S113" s="11">
        <v>27</v>
      </c>
      <c r="T113" s="12">
        <v>1000</v>
      </c>
      <c r="V113" s="7">
        <v>278</v>
      </c>
      <c r="W113" s="13">
        <f t="shared" si="23"/>
        <v>15.361354856313383</v>
      </c>
      <c r="Y113" s="56">
        <v>130</v>
      </c>
      <c r="Z113" s="13">
        <f t="shared" si="26"/>
        <v>0.16641005886756874</v>
      </c>
      <c r="AB113">
        <f t="shared" si="32"/>
        <v>16.666666666666668</v>
      </c>
      <c r="AI113" s="2">
        <v>800</v>
      </c>
      <c r="AJ113" s="7">
        <f t="shared" si="27"/>
        <v>9.6799999999999997E-2</v>
      </c>
      <c r="AK113" s="8">
        <f t="shared" si="28"/>
        <v>0.1482</v>
      </c>
      <c r="AL113" s="56">
        <f t="shared" si="29"/>
        <v>2.1599999999999998E-2</v>
      </c>
      <c r="AM113" s="9">
        <f t="shared" si="30"/>
        <v>1.8400000000000003E-2</v>
      </c>
    </row>
    <row r="114" spans="1:63" s="27" customFormat="1" thickTop="1" thickBot="1" x14ac:dyDescent="0.3">
      <c r="A114" s="21">
        <v>465</v>
      </c>
      <c r="B114" s="22">
        <v>47</v>
      </c>
      <c r="C114" s="22">
        <v>5</v>
      </c>
      <c r="D114" s="23"/>
      <c r="E114" s="24">
        <v>136</v>
      </c>
      <c r="F114" s="24">
        <v>14</v>
      </c>
      <c r="G114" s="25">
        <f t="shared" si="24"/>
        <v>122</v>
      </c>
      <c r="H114" s="23"/>
      <c r="I114" s="22">
        <v>109</v>
      </c>
      <c r="J114" s="3">
        <f t="shared" si="31"/>
        <v>-38.775614754098399</v>
      </c>
      <c r="K114" s="26">
        <f t="shared" si="25"/>
        <v>174</v>
      </c>
      <c r="L114" s="23"/>
      <c r="N114" s="23"/>
      <c r="O114" s="28">
        <v>0.186</v>
      </c>
      <c r="P114" s="29">
        <v>0.04</v>
      </c>
      <c r="Q114" s="23"/>
      <c r="R114" s="30">
        <v>70</v>
      </c>
      <c r="S114" s="31">
        <v>30</v>
      </c>
      <c r="T114" s="32">
        <v>900</v>
      </c>
      <c r="U114" s="23"/>
      <c r="V114" s="33">
        <v>176</v>
      </c>
      <c r="W114" s="75">
        <f t="shared" si="23"/>
        <v>16.025547785276544</v>
      </c>
      <c r="X114" s="5"/>
      <c r="Y114" s="55">
        <v>127</v>
      </c>
      <c r="Z114" s="13">
        <f t="shared" si="26"/>
        <v>0.16695513094251252</v>
      </c>
      <c r="AB114" s="27">
        <f t="shared" si="32"/>
        <v>16.666666666666668</v>
      </c>
      <c r="AD114" s="5"/>
      <c r="AE114" s="28"/>
      <c r="AF114" s="3"/>
      <c r="AH114" s="5"/>
      <c r="AI114" s="2">
        <v>700</v>
      </c>
      <c r="AJ114" s="7">
        <f t="shared" si="27"/>
        <v>4.8999999999999995E-2</v>
      </c>
      <c r="AK114" s="8">
        <f t="shared" si="28"/>
        <v>0.13700000000000001</v>
      </c>
      <c r="AL114" s="56">
        <f t="shared" si="29"/>
        <v>2.0999999999999998E-2</v>
      </c>
      <c r="AM114" s="9">
        <f t="shared" si="30"/>
        <v>1.9000000000000003E-2</v>
      </c>
      <c r="AN114" s="5"/>
      <c r="AO114" s="91"/>
      <c r="AP114" s="5"/>
      <c r="AQ114" s="96"/>
      <c r="AR114" s="5"/>
      <c r="AS114" s="30"/>
      <c r="AT114" s="31"/>
      <c r="AU114" s="32"/>
      <c r="BK114" s="5"/>
    </row>
    <row r="115" spans="1:63" thickTop="1" thickBot="1" x14ac:dyDescent="0.3">
      <c r="A115" s="15">
        <v>466</v>
      </c>
      <c r="B115" s="16">
        <v>47</v>
      </c>
      <c r="C115" s="16">
        <v>6</v>
      </c>
      <c r="D115" s="17"/>
      <c r="E115" s="1">
        <v>134</v>
      </c>
      <c r="F115" s="1">
        <v>16</v>
      </c>
      <c r="G115" s="18">
        <f t="shared" si="24"/>
        <v>118</v>
      </c>
      <c r="H115" s="17"/>
      <c r="I115" s="19">
        <v>10</v>
      </c>
      <c r="J115" s="3">
        <f t="shared" si="31"/>
        <v>-34.2266949152542</v>
      </c>
      <c r="K115" s="20">
        <f t="shared" si="25"/>
        <v>186</v>
      </c>
      <c r="L115" s="17"/>
      <c r="N115" s="17"/>
      <c r="O115" s="8">
        <v>8.1000000000000003E-2</v>
      </c>
      <c r="P115" s="9">
        <v>3.5000000000000003E-2</v>
      </c>
      <c r="Q115" s="17"/>
      <c r="R115" s="10">
        <v>76</v>
      </c>
      <c r="S115" s="11">
        <v>22</v>
      </c>
      <c r="T115" s="12">
        <v>600</v>
      </c>
      <c r="U115" s="17"/>
      <c r="V115" s="7">
        <v>139</v>
      </c>
      <c r="W115" s="13">
        <f t="shared" si="23"/>
        <v>16.490677549547971</v>
      </c>
      <c r="Y115" s="56">
        <v>173</v>
      </c>
      <c r="Z115" s="13">
        <f t="shared" si="26"/>
        <v>0.16056259471249601</v>
      </c>
      <c r="AB115">
        <v>10</v>
      </c>
      <c r="AC115" t="s">
        <v>31</v>
      </c>
      <c r="AE115" s="8">
        <f>(O115*AB115+O116*AB116+O117*AB117)/100</f>
        <v>0.11110000000000002</v>
      </c>
      <c r="AF115" s="3">
        <f>225-5.625*($B115-0.5)</f>
        <v>-36.5625</v>
      </c>
      <c r="AG115">
        <f>K115</f>
        <v>186</v>
      </c>
      <c r="AI115" s="2">
        <v>400</v>
      </c>
      <c r="AJ115" s="7">
        <f t="shared" si="27"/>
        <v>3.04E-2</v>
      </c>
      <c r="AK115" s="8">
        <f t="shared" si="28"/>
        <v>5.0600000000000006E-2</v>
      </c>
      <c r="AL115" s="56">
        <f t="shared" si="29"/>
        <v>8.7999999999999988E-3</v>
      </c>
      <c r="AM115" s="9">
        <f t="shared" si="30"/>
        <v>2.6200000000000005E-2</v>
      </c>
      <c r="AO115" s="90">
        <f>($AB115*AK115+$AB116*AK116+$AB117*AK117)/100</f>
        <v>5.886000000000001E-2</v>
      </c>
      <c r="AQ115" s="95">
        <f>($AB115*AM115+$AB116*AM116+$AB117*AM117)/100</f>
        <v>2.5849999999999998E-2</v>
      </c>
      <c r="AS115" s="10">
        <f>($AB115*R115+$AB116*R116+$AB117*R117)/100</f>
        <v>101.2</v>
      </c>
      <c r="AT115" s="11">
        <f>($AB115*S115+$AB116*S116+$AB117*S117)/100</f>
        <v>17.899999999999999</v>
      </c>
      <c r="AU115" s="12">
        <f>($AB115*T115+$AB116*T116+$AB117*T117)/100</f>
        <v>700</v>
      </c>
    </row>
    <row r="116" spans="1:63" thickTop="1" thickBot="1" x14ac:dyDescent="0.3">
      <c r="A116" s="4">
        <v>466</v>
      </c>
      <c r="B116" s="93">
        <v>47</v>
      </c>
      <c r="C116" s="93">
        <v>6</v>
      </c>
      <c r="E116" s="1">
        <v>134</v>
      </c>
      <c r="F116" s="1">
        <v>16</v>
      </c>
      <c r="G116" s="3">
        <f t="shared" si="24"/>
        <v>118</v>
      </c>
      <c r="I116" s="2">
        <v>59</v>
      </c>
      <c r="J116" s="3">
        <f t="shared" si="31"/>
        <v>-36.5625</v>
      </c>
      <c r="K116" s="6">
        <f t="shared" si="25"/>
        <v>186</v>
      </c>
      <c r="O116" s="8">
        <v>0.108</v>
      </c>
      <c r="P116" s="9">
        <v>3.4000000000000002E-2</v>
      </c>
      <c r="R116" s="10">
        <v>102</v>
      </c>
      <c r="S116" s="11">
        <v>17</v>
      </c>
      <c r="T116" s="12">
        <v>700</v>
      </c>
      <c r="V116" s="7">
        <v>80</v>
      </c>
      <c r="W116" s="13">
        <f t="shared" si="23"/>
        <v>18.027756377319946</v>
      </c>
      <c r="Y116" s="56">
        <v>77</v>
      </c>
      <c r="Z116" s="13">
        <f t="shared" si="26"/>
        <v>0.18162327215148669</v>
      </c>
      <c r="AB116">
        <v>80</v>
      </c>
      <c r="AC116" t="s">
        <v>31</v>
      </c>
      <c r="AI116" s="2">
        <v>500</v>
      </c>
      <c r="AJ116" s="7">
        <f t="shared" si="27"/>
        <v>5.0999999999999997E-2</v>
      </c>
      <c r="AK116" s="8">
        <f t="shared" si="28"/>
        <v>5.7000000000000002E-2</v>
      </c>
      <c r="AL116" s="56">
        <f t="shared" si="29"/>
        <v>8.4999999999999989E-3</v>
      </c>
      <c r="AM116" s="9">
        <f t="shared" si="30"/>
        <v>2.5500000000000002E-2</v>
      </c>
    </row>
    <row r="117" spans="1:63" s="27" customFormat="1" thickTop="1" thickBot="1" x14ac:dyDescent="0.3">
      <c r="A117" s="21">
        <v>466</v>
      </c>
      <c r="B117" s="22">
        <v>47</v>
      </c>
      <c r="C117" s="22">
        <v>6</v>
      </c>
      <c r="D117" s="23"/>
      <c r="E117" s="24">
        <v>134</v>
      </c>
      <c r="F117" s="24">
        <v>16</v>
      </c>
      <c r="G117" s="25">
        <f t="shared" si="24"/>
        <v>118</v>
      </c>
      <c r="H117" s="23"/>
      <c r="I117" s="22">
        <v>108</v>
      </c>
      <c r="J117" s="3">
        <f t="shared" si="31"/>
        <v>-38.8983050847458</v>
      </c>
      <c r="K117" s="26">
        <f t="shared" si="25"/>
        <v>186</v>
      </c>
      <c r="L117" s="23"/>
      <c r="N117" s="23"/>
      <c r="O117" s="28">
        <v>0.16600000000000001</v>
      </c>
      <c r="P117" s="29">
        <v>4.2999999999999997E-2</v>
      </c>
      <c r="Q117" s="23"/>
      <c r="R117" s="30">
        <v>120</v>
      </c>
      <c r="S117" s="31">
        <v>21</v>
      </c>
      <c r="T117" s="32">
        <v>800</v>
      </c>
      <c r="U117" s="23"/>
      <c r="V117" s="33">
        <v>217</v>
      </c>
      <c r="W117" s="75">
        <f t="shared" ref="W117:W127" si="33">SQRT(0.1^2+0.1^2+1/V117)*100</f>
        <v>15.687031245865352</v>
      </c>
      <c r="X117" s="5"/>
      <c r="Y117" s="55">
        <v>159</v>
      </c>
      <c r="Z117" s="13">
        <f t="shared" si="26"/>
        <v>0.16213977974605934</v>
      </c>
      <c r="AB117" s="27">
        <v>10</v>
      </c>
      <c r="AC117" s="27" t="s">
        <v>31</v>
      </c>
      <c r="AD117" s="5"/>
      <c r="AE117" s="28"/>
      <c r="AF117" s="3"/>
      <c r="AH117" s="5"/>
      <c r="AI117" s="2">
        <v>700</v>
      </c>
      <c r="AJ117" s="7">
        <f t="shared" si="27"/>
        <v>8.3999999999999991E-2</v>
      </c>
      <c r="AK117" s="8">
        <f t="shared" si="28"/>
        <v>8.2000000000000017E-2</v>
      </c>
      <c r="AL117" s="56">
        <f t="shared" si="29"/>
        <v>1.47E-2</v>
      </c>
      <c r="AM117" s="9">
        <f t="shared" si="30"/>
        <v>2.8299999999999999E-2</v>
      </c>
      <c r="AN117" s="5"/>
      <c r="AO117" s="91"/>
      <c r="AP117" s="5"/>
      <c r="AQ117" s="96"/>
      <c r="AR117" s="5"/>
      <c r="AS117" s="30"/>
      <c r="AT117" s="31"/>
      <c r="AU117" s="32"/>
      <c r="BK117" s="5"/>
    </row>
    <row r="118" spans="1:63" thickTop="1" thickBot="1" x14ac:dyDescent="0.3">
      <c r="A118" s="15">
        <v>496</v>
      </c>
      <c r="B118" s="16">
        <v>48</v>
      </c>
      <c r="C118" s="16">
        <v>6</v>
      </c>
      <c r="D118" s="17"/>
      <c r="E118" s="1">
        <v>137</v>
      </c>
      <c r="F118" s="1">
        <v>7</v>
      </c>
      <c r="G118" s="18">
        <f t="shared" ref="G118:G151" si="34">E118-F118</f>
        <v>130</v>
      </c>
      <c r="H118" s="17"/>
      <c r="I118" s="19">
        <v>10</v>
      </c>
      <c r="J118" s="3">
        <f t="shared" si="31"/>
        <v>-39.807692307692321</v>
      </c>
      <c r="K118" s="20">
        <f t="shared" ref="K118:K151" si="35">120+12*(C118-0.5)</f>
        <v>186</v>
      </c>
      <c r="L118" s="17"/>
      <c r="N118" s="17"/>
      <c r="O118" s="8">
        <v>0.13200000000000001</v>
      </c>
      <c r="P118" s="9">
        <v>0.121</v>
      </c>
      <c r="Q118" s="17"/>
      <c r="R118" s="10">
        <v>71</v>
      </c>
      <c r="S118" s="11">
        <v>78</v>
      </c>
      <c r="T118" s="12">
        <v>2600</v>
      </c>
      <c r="U118" s="17"/>
      <c r="V118" s="7">
        <v>612</v>
      </c>
      <c r="W118" s="13">
        <f t="shared" si="33"/>
        <v>14.708496499678198</v>
      </c>
      <c r="Y118" s="56">
        <v>1743</v>
      </c>
      <c r="Z118" s="13">
        <f t="shared" ref="Z118:Z151" si="36">SQRT(0.1^2+0.1^2+1/Y118)</f>
        <v>0.14343543308851453</v>
      </c>
      <c r="AB118" s="72">
        <v>10</v>
      </c>
      <c r="AC118" s="72" t="s">
        <v>32</v>
      </c>
      <c r="AE118" s="8">
        <f>(O118*AB118+O119*AB119+O120*AB120)/100</f>
        <v>0.18129999999999999</v>
      </c>
      <c r="AF118" s="3">
        <f>225-5.625*($B118-0.5)</f>
        <v>-42.1875</v>
      </c>
      <c r="AG118">
        <f>K118</f>
        <v>186</v>
      </c>
      <c r="AI118" s="2">
        <v>900</v>
      </c>
      <c r="AJ118" s="7">
        <f t="shared" ref="AJ118:AJ151" si="37">AI118*R118*0.000001</f>
        <v>6.3899999999999998E-2</v>
      </c>
      <c r="AK118" s="8">
        <f t="shared" ref="AK118:AK151" si="38">O118-AJ118</f>
        <v>6.8100000000000008E-2</v>
      </c>
      <c r="AL118" s="56">
        <f t="shared" ref="AL118:AL151" si="39">S118*AI118*0.000001</f>
        <v>7.0199999999999999E-2</v>
      </c>
      <c r="AM118" s="9">
        <f t="shared" ref="AM118:AM151" si="40">P118-AL118</f>
        <v>5.0799999999999998E-2</v>
      </c>
      <c r="AO118" s="90">
        <f>($AB118*AK118+$AB119*AK119+$AB120*AK120)/100</f>
        <v>0.12367</v>
      </c>
      <c r="AQ118" s="95">
        <f>($AB118*AM118+$AB119*AM119+$AB120*AM120)/100</f>
        <v>0.05</v>
      </c>
      <c r="AS118" s="10">
        <f>($AB118*R118+$AB119*R119+$AB120*R120)/100</f>
        <v>61.2</v>
      </c>
      <c r="AT118" s="11">
        <f>($AB118*S118+$AB119*S119+$AB120*S120)/100</f>
        <v>79.2</v>
      </c>
      <c r="AU118" s="12">
        <f>($AB118*T118+$AB119*T119+$AB120*T120)/100</f>
        <v>2525.6</v>
      </c>
    </row>
    <row r="119" spans="1:63" thickTop="1" thickBot="1" x14ac:dyDescent="0.3">
      <c r="A119" s="4">
        <v>496</v>
      </c>
      <c r="B119" s="93">
        <v>48</v>
      </c>
      <c r="C119" s="93">
        <v>6</v>
      </c>
      <c r="E119" s="1">
        <v>137</v>
      </c>
      <c r="F119" s="1">
        <v>7</v>
      </c>
      <c r="G119" s="3">
        <f t="shared" si="34"/>
        <v>130</v>
      </c>
      <c r="I119" s="2">
        <v>65</v>
      </c>
      <c r="J119" s="3">
        <f t="shared" si="31"/>
        <v>-42.1875</v>
      </c>
      <c r="K119" s="6">
        <f t="shared" si="35"/>
        <v>186</v>
      </c>
      <c r="O119" s="8">
        <v>0.17399999999999999</v>
      </c>
      <c r="P119" s="9">
        <v>0.113</v>
      </c>
      <c r="R119" s="10">
        <v>57</v>
      </c>
      <c r="S119" s="11">
        <v>70</v>
      </c>
      <c r="T119" s="12">
        <v>2407</v>
      </c>
      <c r="V119" s="7">
        <v>719</v>
      </c>
      <c r="W119" s="13">
        <f t="shared" si="33"/>
        <v>14.625601042057948</v>
      </c>
      <c r="Y119" s="56">
        <v>1580</v>
      </c>
      <c r="Z119" s="13">
        <f t="shared" si="36"/>
        <v>0.14364160745551779</v>
      </c>
      <c r="AB119" s="72">
        <v>80</v>
      </c>
      <c r="AC119" t="s">
        <v>32</v>
      </c>
      <c r="AI119" s="2">
        <v>900</v>
      </c>
      <c r="AJ119" s="7">
        <f t="shared" si="37"/>
        <v>5.1299999999999998E-2</v>
      </c>
      <c r="AK119" s="8">
        <f t="shared" si="38"/>
        <v>0.12269999999999999</v>
      </c>
      <c r="AL119" s="56">
        <f t="shared" si="39"/>
        <v>6.3E-2</v>
      </c>
      <c r="AM119" s="9">
        <f t="shared" si="40"/>
        <v>0.05</v>
      </c>
    </row>
    <row r="120" spans="1:63" s="27" customFormat="1" thickTop="1" thickBot="1" x14ac:dyDescent="0.3">
      <c r="A120" s="21">
        <v>496</v>
      </c>
      <c r="B120" s="22">
        <v>48</v>
      </c>
      <c r="C120" s="22">
        <v>6</v>
      </c>
      <c r="D120" s="23"/>
      <c r="E120" s="24">
        <v>137</v>
      </c>
      <c r="F120" s="24">
        <v>7</v>
      </c>
      <c r="G120" s="25">
        <f t="shared" si="34"/>
        <v>130</v>
      </c>
      <c r="H120" s="23"/>
      <c r="I120" s="22">
        <v>120</v>
      </c>
      <c r="J120" s="3">
        <f t="shared" si="31"/>
        <v>-44.567307692307679</v>
      </c>
      <c r="K120" s="26">
        <f t="shared" si="35"/>
        <v>186</v>
      </c>
      <c r="L120" s="23"/>
      <c r="N120" s="23"/>
      <c r="O120" s="28">
        <v>0.28899999999999998</v>
      </c>
      <c r="P120" s="29">
        <v>0.23400000000000001</v>
      </c>
      <c r="Q120" s="23"/>
      <c r="R120" s="30">
        <v>85</v>
      </c>
      <c r="S120" s="31">
        <v>154</v>
      </c>
      <c r="T120" s="32">
        <v>3400</v>
      </c>
      <c r="U120" s="23"/>
      <c r="V120" s="33">
        <v>1070</v>
      </c>
      <c r="W120" s="34">
        <f t="shared" si="33"/>
        <v>14.468786901206451</v>
      </c>
      <c r="X120" s="5"/>
      <c r="Y120" s="55">
        <v>3264</v>
      </c>
      <c r="Z120" s="34">
        <f t="shared" si="36"/>
        <v>0.14250042999591128</v>
      </c>
      <c r="AB120" s="27">
        <v>10</v>
      </c>
      <c r="AC120" s="27" t="s">
        <v>32</v>
      </c>
      <c r="AD120" s="5"/>
      <c r="AE120" s="28"/>
      <c r="AF120" s="3"/>
      <c r="AH120" s="5"/>
      <c r="AI120" s="2">
        <v>1200</v>
      </c>
      <c r="AJ120" s="7">
        <f t="shared" si="37"/>
        <v>0.10199999999999999</v>
      </c>
      <c r="AK120" s="8">
        <f t="shared" si="38"/>
        <v>0.187</v>
      </c>
      <c r="AL120" s="56">
        <f t="shared" si="39"/>
        <v>0.18479999999999999</v>
      </c>
      <c r="AM120" s="9">
        <f t="shared" si="40"/>
        <v>4.9200000000000021E-2</v>
      </c>
      <c r="AN120" s="5"/>
      <c r="AO120" s="91"/>
      <c r="AP120" s="5"/>
      <c r="AQ120" s="96"/>
      <c r="AR120" s="5"/>
      <c r="AS120" s="30"/>
      <c r="AT120" s="31"/>
      <c r="AU120" s="32"/>
      <c r="BK120" s="5"/>
    </row>
    <row r="121" spans="1:63" thickTop="1" thickBot="1" x14ac:dyDescent="0.3">
      <c r="A121" s="15">
        <v>506</v>
      </c>
      <c r="B121" s="16">
        <v>49</v>
      </c>
      <c r="C121" s="16">
        <v>6</v>
      </c>
      <c r="D121" s="17"/>
      <c r="E121" s="1">
        <v>131</v>
      </c>
      <c r="F121" s="1">
        <v>7</v>
      </c>
      <c r="G121" s="18">
        <f t="shared" si="34"/>
        <v>124</v>
      </c>
      <c r="H121" s="17"/>
      <c r="I121" s="19">
        <v>9</v>
      </c>
      <c r="J121" s="3">
        <f t="shared" si="31"/>
        <v>-45.408266129032256</v>
      </c>
      <c r="K121" s="20">
        <f t="shared" si="35"/>
        <v>186</v>
      </c>
      <c r="L121" s="17"/>
      <c r="N121" s="17"/>
      <c r="O121" s="8">
        <v>0.06</v>
      </c>
      <c r="P121" s="9">
        <v>7.0000000000000001E-3</v>
      </c>
      <c r="Q121" s="17"/>
      <c r="R121" s="10">
        <v>106</v>
      </c>
      <c r="S121" s="11">
        <v>26</v>
      </c>
      <c r="T121" s="12">
        <v>800</v>
      </c>
      <c r="U121" s="17"/>
      <c r="V121" s="7">
        <v>0</v>
      </c>
      <c r="W121" s="13" t="e">
        <f t="shared" si="33"/>
        <v>#DIV/0!</v>
      </c>
      <c r="Y121" s="56">
        <v>0</v>
      </c>
      <c r="Z121" s="13" t="e">
        <f t="shared" si="36"/>
        <v>#DIV/0!</v>
      </c>
      <c r="AB121" s="72">
        <v>5</v>
      </c>
      <c r="AC121" s="72" t="s">
        <v>33</v>
      </c>
      <c r="AE121" s="8">
        <f>(O121*AB121+O122*AB122+O123*AB123+O124*AB124)/100</f>
        <v>7.2849999999999998E-2</v>
      </c>
      <c r="AF121" s="3">
        <f>225-5.625*($B121-0.5)</f>
        <v>-47.8125</v>
      </c>
      <c r="AG121">
        <f>K121</f>
        <v>186</v>
      </c>
      <c r="AI121" s="2">
        <v>600</v>
      </c>
      <c r="AJ121" s="7">
        <f t="shared" si="37"/>
        <v>6.3600000000000004E-2</v>
      </c>
      <c r="AK121" s="8">
        <f t="shared" si="38"/>
        <v>-3.600000000000006E-3</v>
      </c>
      <c r="AL121" s="56">
        <f t="shared" si="39"/>
        <v>1.5599999999999999E-2</v>
      </c>
      <c r="AM121" s="9">
        <f t="shared" si="40"/>
        <v>-8.6E-3</v>
      </c>
      <c r="AO121" s="90">
        <f>($AB121*AK121+$AB122*AK122+$AB123*AK123+$AB124*AK124)/100</f>
        <v>8.199999999999963E-4</v>
      </c>
      <c r="AQ121" s="95">
        <f>($AB121*AM121+$AB122*AM122+$AB123*AM123+$AB124*AM124)/100</f>
        <v>2.794E-2</v>
      </c>
      <c r="AS121" s="10">
        <f>($AB121*R121+$AB122*R122+$AB123*R123+$AB124*R124)/100</f>
        <v>118.75</v>
      </c>
      <c r="AT121" s="11">
        <f>($AB121*S121+$AB122*S122+$AB123*S123+$AB124*S124)/100</f>
        <v>14.55</v>
      </c>
      <c r="AU121" s="12">
        <f>($AB121*T121+$AB122*T122+$AB123*T123+$AB124*T124)/100</f>
        <v>740</v>
      </c>
    </row>
    <row r="122" spans="1:63" thickTop="1" thickBot="1" x14ac:dyDescent="0.3">
      <c r="A122" s="4">
        <v>506</v>
      </c>
      <c r="B122" s="93">
        <v>49</v>
      </c>
      <c r="C122" s="93">
        <v>6</v>
      </c>
      <c r="E122" s="1">
        <v>131</v>
      </c>
      <c r="F122" s="1">
        <v>7</v>
      </c>
      <c r="G122" s="3">
        <f t="shared" si="34"/>
        <v>124</v>
      </c>
      <c r="I122" s="2">
        <v>10</v>
      </c>
      <c r="J122" s="3">
        <f t="shared" si="31"/>
        <v>-45.45362903225805</v>
      </c>
      <c r="K122" s="6">
        <f t="shared" si="35"/>
        <v>186</v>
      </c>
      <c r="O122" s="8">
        <v>0.107</v>
      </c>
      <c r="P122" s="9">
        <v>2.5999999999999999E-2</v>
      </c>
      <c r="R122" s="10">
        <v>105</v>
      </c>
      <c r="S122" s="11">
        <v>17</v>
      </c>
      <c r="T122" s="12">
        <v>900</v>
      </c>
      <c r="V122" s="7">
        <v>190</v>
      </c>
      <c r="W122" s="13">
        <f t="shared" si="33"/>
        <v>15.894388284780527</v>
      </c>
      <c r="Y122" s="56">
        <v>115</v>
      </c>
      <c r="Z122" s="13">
        <f t="shared" si="36"/>
        <v>0.16939791077198399</v>
      </c>
      <c r="AB122" s="72">
        <v>15</v>
      </c>
      <c r="AC122" s="72" t="s">
        <v>33</v>
      </c>
      <c r="AI122" s="2">
        <v>600</v>
      </c>
      <c r="AJ122" s="7">
        <f t="shared" si="37"/>
        <v>6.3E-2</v>
      </c>
      <c r="AK122" s="8">
        <f t="shared" si="38"/>
        <v>4.3999999999999997E-2</v>
      </c>
      <c r="AL122" s="56">
        <f t="shared" si="39"/>
        <v>1.0199999999999999E-2</v>
      </c>
      <c r="AM122" s="9">
        <f t="shared" si="40"/>
        <v>1.5800000000000002E-2</v>
      </c>
    </row>
    <row r="123" spans="1:63" thickTop="1" thickBot="1" x14ac:dyDescent="0.3">
      <c r="A123" s="4">
        <v>506</v>
      </c>
      <c r="B123" s="2">
        <v>49</v>
      </c>
      <c r="C123" s="2">
        <v>6</v>
      </c>
      <c r="E123" s="1">
        <v>131</v>
      </c>
      <c r="F123" s="1">
        <v>7</v>
      </c>
      <c r="G123" s="3">
        <f t="shared" si="34"/>
        <v>124</v>
      </c>
      <c r="I123" s="2">
        <v>60</v>
      </c>
      <c r="J123" s="3">
        <f t="shared" si="31"/>
        <v>-47.721774193548413</v>
      </c>
      <c r="K123" s="6">
        <f t="shared" si="35"/>
        <v>186</v>
      </c>
      <c r="O123" s="8">
        <v>0.06</v>
      </c>
      <c r="P123" s="9">
        <v>4.3999999999999997E-2</v>
      </c>
      <c r="R123" s="10">
        <v>134</v>
      </c>
      <c r="S123" s="11">
        <v>14</v>
      </c>
      <c r="T123" s="12">
        <v>700</v>
      </c>
      <c r="V123" s="7">
        <v>0</v>
      </c>
      <c r="W123" s="13" t="e">
        <f t="shared" si="33"/>
        <v>#DIV/0!</v>
      </c>
      <c r="Y123" s="56">
        <v>123</v>
      </c>
      <c r="Z123" s="13">
        <f t="shared" si="36"/>
        <v>0.16772024714032893</v>
      </c>
      <c r="AB123" s="72">
        <v>70</v>
      </c>
      <c r="AC123" s="72" t="s">
        <v>33</v>
      </c>
      <c r="AI123" s="2">
        <v>600</v>
      </c>
      <c r="AJ123" s="7">
        <f t="shared" si="37"/>
        <v>8.0399999999999999E-2</v>
      </c>
      <c r="AK123" s="8">
        <f t="shared" si="38"/>
        <v>-2.0400000000000001E-2</v>
      </c>
      <c r="AL123" s="56">
        <f t="shared" si="39"/>
        <v>8.3999999999999995E-3</v>
      </c>
      <c r="AM123" s="9">
        <f t="shared" si="40"/>
        <v>3.56E-2</v>
      </c>
    </row>
    <row r="124" spans="1:63" s="27" customFormat="1" thickTop="1" thickBot="1" x14ac:dyDescent="0.3">
      <c r="A124" s="21">
        <v>506</v>
      </c>
      <c r="B124" s="22">
        <v>49</v>
      </c>
      <c r="C124" s="22">
        <v>6</v>
      </c>
      <c r="D124" s="23"/>
      <c r="E124" s="24">
        <v>131</v>
      </c>
      <c r="F124" s="24">
        <v>7</v>
      </c>
      <c r="G124" s="25">
        <f t="shared" si="34"/>
        <v>124</v>
      </c>
      <c r="H124" s="23"/>
      <c r="I124" s="22">
        <v>108</v>
      </c>
      <c r="J124" s="3">
        <f t="shared" si="31"/>
        <v>-49.899193548387075</v>
      </c>
      <c r="K124" s="26">
        <f t="shared" si="35"/>
        <v>186</v>
      </c>
      <c r="L124" s="23"/>
      <c r="N124" s="23"/>
      <c r="O124" s="28">
        <v>0.11799999999999999</v>
      </c>
      <c r="P124" s="29">
        <v>1.7999999999999999E-2</v>
      </c>
      <c r="Q124" s="23"/>
      <c r="R124" s="30">
        <v>39</v>
      </c>
      <c r="S124" s="31">
        <v>9</v>
      </c>
      <c r="T124" s="32">
        <v>750</v>
      </c>
      <c r="U124" s="23"/>
      <c r="V124" s="33">
        <v>80</v>
      </c>
      <c r="W124" s="34">
        <f t="shared" si="33"/>
        <v>18.027756377319946</v>
      </c>
      <c r="X124" s="5"/>
      <c r="Y124" s="55">
        <v>33</v>
      </c>
      <c r="Z124" s="34">
        <f t="shared" si="36"/>
        <v>0.2242833705450101</v>
      </c>
      <c r="AB124" s="27">
        <v>10</v>
      </c>
      <c r="AC124" s="73" t="s">
        <v>33</v>
      </c>
      <c r="AD124" s="5"/>
      <c r="AE124" s="28"/>
      <c r="AF124" s="3"/>
      <c r="AH124" s="5"/>
      <c r="AI124" s="2">
        <v>800</v>
      </c>
      <c r="AJ124" s="7">
        <f t="shared" si="37"/>
        <v>3.1199999999999999E-2</v>
      </c>
      <c r="AK124" s="8">
        <f t="shared" si="38"/>
        <v>8.6799999999999988E-2</v>
      </c>
      <c r="AL124" s="56">
        <f t="shared" si="39"/>
        <v>7.1999999999999998E-3</v>
      </c>
      <c r="AM124" s="9">
        <f t="shared" si="40"/>
        <v>1.0799999999999999E-2</v>
      </c>
      <c r="AN124" s="5"/>
      <c r="AO124" s="91"/>
      <c r="AP124" s="5"/>
      <c r="AQ124" s="96"/>
      <c r="AR124" s="5"/>
      <c r="AS124" s="30"/>
      <c r="AT124" s="31"/>
      <c r="AU124" s="32"/>
      <c r="BK124" s="5"/>
    </row>
    <row r="125" spans="1:63" thickTop="1" thickBot="1" x14ac:dyDescent="0.3">
      <c r="A125" s="15">
        <v>535</v>
      </c>
      <c r="B125" s="16">
        <v>54</v>
      </c>
      <c r="C125" s="16">
        <v>5</v>
      </c>
      <c r="D125" s="17"/>
      <c r="E125" s="1">
        <v>137</v>
      </c>
      <c r="F125" s="1">
        <v>13</v>
      </c>
      <c r="G125" s="18">
        <f t="shared" si="34"/>
        <v>124</v>
      </c>
      <c r="H125" s="17"/>
      <c r="I125" s="19">
        <v>10</v>
      </c>
      <c r="J125" s="3">
        <f t="shared" si="31"/>
        <v>-73.57862903225805</v>
      </c>
      <c r="K125" s="20">
        <f t="shared" si="35"/>
        <v>174</v>
      </c>
      <c r="L125" s="17"/>
      <c r="N125" s="17"/>
      <c r="O125" s="8">
        <v>1.7999999999999999E-2</v>
      </c>
      <c r="P125" s="9">
        <v>1.9E-2</v>
      </c>
      <c r="Q125" s="17"/>
      <c r="R125" s="10">
        <v>90</v>
      </c>
      <c r="S125" s="11">
        <v>27</v>
      </c>
      <c r="T125" s="12">
        <v>1000</v>
      </c>
      <c r="U125" s="17"/>
      <c r="V125" s="7">
        <v>0</v>
      </c>
      <c r="W125" s="13" t="e">
        <f t="shared" si="33"/>
        <v>#DIV/0!</v>
      </c>
      <c r="Y125" s="56">
        <v>0</v>
      </c>
      <c r="Z125" s="13" t="e">
        <f t="shared" si="36"/>
        <v>#DIV/0!</v>
      </c>
      <c r="AB125" s="72">
        <v>5</v>
      </c>
      <c r="AE125" s="8">
        <f>(O125*AB125+O126*AB126+O127*AB127)/100</f>
        <v>0.12765000000000001</v>
      </c>
      <c r="AF125" s="3">
        <f>225-5.625*($B125-0.5)</f>
        <v>-75.9375</v>
      </c>
      <c r="AG125">
        <f>K125</f>
        <v>174</v>
      </c>
      <c r="AI125" s="2">
        <v>600</v>
      </c>
      <c r="AJ125" s="7">
        <f t="shared" si="37"/>
        <v>5.3999999999999999E-2</v>
      </c>
      <c r="AK125" s="8">
        <f t="shared" si="38"/>
        <v>-3.6000000000000004E-2</v>
      </c>
      <c r="AL125" s="56">
        <f t="shared" si="39"/>
        <v>1.6199999999999999E-2</v>
      </c>
      <c r="AM125" s="9">
        <f t="shared" si="40"/>
        <v>2.8000000000000004E-3</v>
      </c>
      <c r="AO125" s="90">
        <f>($AB125*AK125+$AB126*AK126+$AB127*AK127)/100</f>
        <v>6.3390000000000016E-2</v>
      </c>
      <c r="AQ125" s="95">
        <f>($AB125*AM125+$AB126*AM126+$AB127*AM127)/100</f>
        <v>9.130000000000001E-3</v>
      </c>
      <c r="AS125" s="10">
        <f>($AB125*R125+$AB126*R126+$AB127*R127)/100</f>
        <v>89.8</v>
      </c>
      <c r="AT125" s="11">
        <f>($AB125*S125+$AB126*S126+$AB127*S127)/100</f>
        <v>36.15</v>
      </c>
      <c r="AU125" s="12">
        <f>($AB125*T125+$AB126*T126+$AB127*T127)/100</f>
        <v>820</v>
      </c>
    </row>
    <row r="126" spans="1:63" thickTop="1" thickBot="1" x14ac:dyDescent="0.3">
      <c r="A126" s="4">
        <v>535</v>
      </c>
      <c r="B126" s="2">
        <v>54</v>
      </c>
      <c r="C126" s="2">
        <v>5</v>
      </c>
      <c r="E126" s="1">
        <v>137</v>
      </c>
      <c r="F126" s="1">
        <v>13</v>
      </c>
      <c r="G126" s="3">
        <f t="shared" si="34"/>
        <v>124</v>
      </c>
      <c r="I126" s="2">
        <v>62</v>
      </c>
      <c r="J126" s="3">
        <f t="shared" si="31"/>
        <v>-75.9375</v>
      </c>
      <c r="K126" s="6">
        <f t="shared" si="35"/>
        <v>174</v>
      </c>
      <c r="O126" s="8">
        <v>0.13900000000000001</v>
      </c>
      <c r="P126" s="9">
        <v>3.2000000000000001E-2</v>
      </c>
      <c r="R126" s="10">
        <v>96</v>
      </c>
      <c r="S126" s="11">
        <v>34</v>
      </c>
      <c r="T126" s="12">
        <v>800</v>
      </c>
      <c r="V126" s="7">
        <v>222</v>
      </c>
      <c r="W126" s="13">
        <f t="shared" si="33"/>
        <v>15.653914687548451</v>
      </c>
      <c r="Y126" s="56">
        <v>157</v>
      </c>
      <c r="Z126" s="13">
        <f t="shared" si="36"/>
        <v>0.16238665816991357</v>
      </c>
      <c r="AB126" s="72">
        <v>85</v>
      </c>
      <c r="AI126" s="2">
        <v>700</v>
      </c>
      <c r="AJ126" s="7">
        <f t="shared" si="37"/>
        <v>6.7199999999999996E-2</v>
      </c>
      <c r="AK126" s="8">
        <f t="shared" si="38"/>
        <v>7.1800000000000017E-2</v>
      </c>
      <c r="AL126" s="56">
        <f t="shared" si="39"/>
        <v>2.3799999999999998E-2</v>
      </c>
      <c r="AM126" s="9">
        <f t="shared" si="40"/>
        <v>8.2000000000000024E-3</v>
      </c>
    </row>
    <row r="127" spans="1:63" s="27" customFormat="1" thickTop="1" thickBot="1" x14ac:dyDescent="0.3">
      <c r="A127" s="21">
        <v>535</v>
      </c>
      <c r="B127" s="22">
        <v>54</v>
      </c>
      <c r="C127" s="22">
        <v>5</v>
      </c>
      <c r="D127" s="23"/>
      <c r="E127" s="24">
        <v>137</v>
      </c>
      <c r="F127" s="24">
        <v>13</v>
      </c>
      <c r="G127" s="25">
        <f t="shared" si="34"/>
        <v>124</v>
      </c>
      <c r="H127" s="23"/>
      <c r="I127" s="22">
        <v>114</v>
      </c>
      <c r="J127" s="3">
        <f t="shared" si="31"/>
        <v>-78.29637096774195</v>
      </c>
      <c r="K127" s="26">
        <f t="shared" si="35"/>
        <v>174</v>
      </c>
      <c r="L127" s="23"/>
      <c r="N127" s="23"/>
      <c r="O127" s="28">
        <v>8.5999999999999993E-2</v>
      </c>
      <c r="P127" s="29">
        <v>9.0999999999999998E-2</v>
      </c>
      <c r="Q127" s="23"/>
      <c r="R127" s="30">
        <v>37</v>
      </c>
      <c r="S127" s="31">
        <v>59</v>
      </c>
      <c r="T127" s="32">
        <v>900</v>
      </c>
      <c r="U127" s="23"/>
      <c r="V127" s="33">
        <v>110</v>
      </c>
      <c r="W127" s="34">
        <f t="shared" si="33"/>
        <v>17.056057308448835</v>
      </c>
      <c r="X127" s="5"/>
      <c r="Y127" s="55">
        <v>432</v>
      </c>
      <c r="Z127" s="34">
        <f t="shared" si="36"/>
        <v>0.14938144066387504</v>
      </c>
      <c r="AB127" s="27">
        <v>10</v>
      </c>
      <c r="AD127" s="5"/>
      <c r="AE127" s="28"/>
      <c r="AF127" s="3"/>
      <c r="AH127" s="5"/>
      <c r="AI127" s="2">
        <v>1200</v>
      </c>
      <c r="AJ127" s="7">
        <f t="shared" si="37"/>
        <v>4.4399999999999995E-2</v>
      </c>
      <c r="AK127" s="8">
        <f t="shared" si="38"/>
        <v>4.1599999999999998E-2</v>
      </c>
      <c r="AL127" s="56">
        <f t="shared" si="39"/>
        <v>7.0800000000000002E-2</v>
      </c>
      <c r="AM127" s="9">
        <f t="shared" si="40"/>
        <v>2.0199999999999996E-2</v>
      </c>
      <c r="AN127" s="5"/>
      <c r="AO127" s="91"/>
      <c r="AP127" s="5"/>
      <c r="AQ127" s="96"/>
      <c r="AR127" s="5"/>
      <c r="AS127" s="30"/>
      <c r="AT127" s="31"/>
      <c r="AU127" s="32"/>
      <c r="BK127" s="5"/>
    </row>
    <row r="128" spans="1:63" thickTop="1" thickBot="1" x14ac:dyDescent="0.3">
      <c r="A128" s="15">
        <v>545</v>
      </c>
      <c r="B128" s="16">
        <v>55</v>
      </c>
      <c r="C128" s="16">
        <v>5</v>
      </c>
      <c r="D128" s="17"/>
      <c r="E128" s="1">
        <v>134</v>
      </c>
      <c r="F128" s="1">
        <v>12</v>
      </c>
      <c r="G128" s="18">
        <f t="shared" si="34"/>
        <v>122</v>
      </c>
      <c r="H128" s="17"/>
      <c r="I128" s="19">
        <v>13</v>
      </c>
      <c r="J128" s="3">
        <f t="shared" ref="J128:J154" si="41">225-5.625*(B128-0.5+(I128-0.5*G128)/G128)</f>
        <v>-79.349385245901601</v>
      </c>
      <c r="K128" s="20">
        <f t="shared" si="35"/>
        <v>174</v>
      </c>
      <c r="L128" s="17"/>
      <c r="N128" s="17"/>
      <c r="O128" s="8">
        <v>0.107</v>
      </c>
      <c r="P128" s="9">
        <v>4.4999999999999998E-2</v>
      </c>
      <c r="Q128" s="17"/>
      <c r="R128" s="10">
        <v>63</v>
      </c>
      <c r="S128" s="11">
        <v>36</v>
      </c>
      <c r="T128" s="12">
        <v>900</v>
      </c>
      <c r="U128" s="17"/>
      <c r="V128" s="7">
        <v>112</v>
      </c>
      <c r="W128" s="74">
        <f t="shared" ref="W128:W154" si="42">SQRT(0.1^2+0.1^2+1/V128)*100</f>
        <v>17.008401285415225</v>
      </c>
      <c r="Y128" s="56">
        <v>186</v>
      </c>
      <c r="Z128" s="13">
        <f t="shared" si="36"/>
        <v>0.15929954201447508</v>
      </c>
      <c r="AB128" s="72">
        <v>5</v>
      </c>
      <c r="AE128" s="8">
        <f>(O128*AB128+O129*AB129+O130*AB130+O131*AB131+O132*AB132+O133*AB133)/100</f>
        <v>8.77E-2</v>
      </c>
      <c r="AF128" s="3">
        <f>225-5.625*($B128-0.5)</f>
        <v>-81.5625</v>
      </c>
      <c r="AG128">
        <f>K128</f>
        <v>174</v>
      </c>
      <c r="AI128" s="2">
        <v>1000</v>
      </c>
      <c r="AJ128" s="7">
        <f t="shared" si="37"/>
        <v>6.3E-2</v>
      </c>
      <c r="AK128" s="8">
        <f t="shared" si="38"/>
        <v>4.3999999999999997E-2</v>
      </c>
      <c r="AL128" s="56">
        <f t="shared" si="39"/>
        <v>3.5999999999999997E-2</v>
      </c>
      <c r="AM128" s="9">
        <f t="shared" si="40"/>
        <v>9.0000000000000011E-3</v>
      </c>
      <c r="AO128" s="90">
        <f>($AB128*AK128+$AB129*AK129+$AB130*AK130+$AB131*AK131+$AB132*AK132+$AB133*AK133)/100</f>
        <v>2.2145000000000005E-2</v>
      </c>
      <c r="AQ128" s="95">
        <f>($AB128*AM128+$AB129*AM129+$AB130*AM130+$AB131*AM131+$AB132*AM132+$AB133*AM133)/100</f>
        <v>2.7552500000000001E-2</v>
      </c>
      <c r="AS128" s="10">
        <f>($AB128*R128+$AB129*R129+$AB130*R130+$AB131*R131+$AB132*R132+$AB133*R133)/100</f>
        <v>82.075000000000003</v>
      </c>
      <c r="AT128" s="11">
        <f>($AB128*S128+$AB129*S129+$AB130*S130+$AB131*S131+$AB132*S132+$AB133*S133)/100</f>
        <v>29.774999999999999</v>
      </c>
      <c r="AU128" s="12">
        <f>($AB128*T128+$AB129*T129+$AB130*T130+$AB131*T131+$AB132*T132+$AB133*T133)/100</f>
        <v>1085</v>
      </c>
    </row>
    <row r="129" spans="1:63" thickTop="1" thickBot="1" x14ac:dyDescent="0.3">
      <c r="A129" s="4">
        <v>545</v>
      </c>
      <c r="B129" s="2">
        <v>55</v>
      </c>
      <c r="C129" s="2">
        <v>5</v>
      </c>
      <c r="E129" s="1">
        <v>134</v>
      </c>
      <c r="F129" s="1">
        <v>12</v>
      </c>
      <c r="G129" s="3">
        <f t="shared" si="34"/>
        <v>122</v>
      </c>
      <c r="I129" s="2">
        <v>33</v>
      </c>
      <c r="J129" s="3">
        <f t="shared" si="41"/>
        <v>-80.271516393442596</v>
      </c>
      <c r="K129" s="6">
        <f t="shared" si="35"/>
        <v>174</v>
      </c>
      <c r="O129" s="8">
        <v>0.124</v>
      </c>
      <c r="P129" s="9">
        <v>7.0999999999999994E-2</v>
      </c>
      <c r="R129" s="10">
        <v>81</v>
      </c>
      <c r="S129" s="11">
        <v>40</v>
      </c>
      <c r="T129" s="12">
        <v>1000</v>
      </c>
      <c r="V129" s="7">
        <v>140</v>
      </c>
      <c r="W129" s="74">
        <f t="shared" si="42"/>
        <v>16.47508942095828</v>
      </c>
      <c r="Y129" s="56">
        <v>243</v>
      </c>
      <c r="Z129" s="13">
        <f t="shared" si="36"/>
        <v>0.15529077994990098</v>
      </c>
      <c r="AB129">
        <f>90/4</f>
        <v>22.5</v>
      </c>
      <c r="AI129" s="2">
        <v>1100</v>
      </c>
      <c r="AJ129" s="7">
        <f t="shared" si="37"/>
        <v>8.9099999999999999E-2</v>
      </c>
      <c r="AK129" s="8">
        <f t="shared" si="38"/>
        <v>3.49E-2</v>
      </c>
      <c r="AL129" s="56">
        <f t="shared" si="39"/>
        <v>4.3999999999999997E-2</v>
      </c>
      <c r="AM129" s="9">
        <f t="shared" si="40"/>
        <v>2.6999999999999996E-2</v>
      </c>
    </row>
    <row r="130" spans="1:63" thickTop="1" thickBot="1" x14ac:dyDescent="0.3">
      <c r="A130" s="4">
        <v>545</v>
      </c>
      <c r="B130" s="93">
        <v>55</v>
      </c>
      <c r="C130" s="93">
        <v>5</v>
      </c>
      <c r="E130" s="1">
        <v>134</v>
      </c>
      <c r="F130" s="1">
        <v>12</v>
      </c>
      <c r="G130" s="3">
        <f t="shared" si="34"/>
        <v>122</v>
      </c>
      <c r="I130" s="2">
        <v>53</v>
      </c>
      <c r="J130" s="3">
        <f t="shared" si="41"/>
        <v>-81.193647540983591</v>
      </c>
      <c r="K130" s="6">
        <f t="shared" si="35"/>
        <v>174</v>
      </c>
      <c r="O130" s="8">
        <v>7.8E-2</v>
      </c>
      <c r="P130" s="9">
        <v>0.05</v>
      </c>
      <c r="R130" s="10">
        <v>43</v>
      </c>
      <c r="S130" s="11">
        <v>28</v>
      </c>
      <c r="T130" s="12">
        <v>1300</v>
      </c>
      <c r="V130" s="7">
        <v>85</v>
      </c>
      <c r="W130" s="74">
        <f t="shared" si="42"/>
        <v>17.822655773580141</v>
      </c>
      <c r="Y130" s="56">
        <v>171</v>
      </c>
      <c r="Z130" s="13">
        <f t="shared" si="36"/>
        <v>0.16077298658784153</v>
      </c>
      <c r="AB130">
        <f>90/4</f>
        <v>22.5</v>
      </c>
      <c r="AI130" s="2">
        <v>700</v>
      </c>
      <c r="AJ130" s="7">
        <f t="shared" si="37"/>
        <v>3.0099999999999998E-2</v>
      </c>
      <c r="AK130" s="8">
        <f t="shared" si="38"/>
        <v>4.7899999999999998E-2</v>
      </c>
      <c r="AL130" s="56">
        <f t="shared" si="39"/>
        <v>1.9599999999999999E-2</v>
      </c>
      <c r="AM130" s="9">
        <f t="shared" si="40"/>
        <v>3.0400000000000003E-2</v>
      </c>
    </row>
    <row r="131" spans="1:63" thickTop="1" thickBot="1" x14ac:dyDescent="0.3">
      <c r="A131" s="4">
        <v>545</v>
      </c>
      <c r="B131" s="93">
        <v>55</v>
      </c>
      <c r="C131" s="93">
        <v>5</v>
      </c>
      <c r="E131" s="1">
        <v>134</v>
      </c>
      <c r="F131" s="1">
        <v>12</v>
      </c>
      <c r="G131" s="3">
        <f t="shared" si="34"/>
        <v>122</v>
      </c>
      <c r="I131" s="2">
        <v>73</v>
      </c>
      <c r="J131" s="3">
        <f t="shared" si="41"/>
        <v>-82.115778688524586</v>
      </c>
      <c r="K131" s="6">
        <f t="shared" si="35"/>
        <v>174</v>
      </c>
      <c r="O131" s="8">
        <v>0.05</v>
      </c>
      <c r="P131" s="9">
        <v>4.1000000000000002E-2</v>
      </c>
      <c r="R131" s="10">
        <v>72</v>
      </c>
      <c r="S131" s="11">
        <v>30</v>
      </c>
      <c r="T131" s="12">
        <v>1000</v>
      </c>
      <c r="V131" s="7">
        <v>0</v>
      </c>
      <c r="W131" s="74" t="e">
        <f t="shared" si="42"/>
        <v>#DIV/0!</v>
      </c>
      <c r="Y131" s="56">
        <v>147</v>
      </c>
      <c r="Z131" s="13">
        <f t="shared" si="36"/>
        <v>0.16371536607305798</v>
      </c>
      <c r="AB131">
        <f>90/4</f>
        <v>22.5</v>
      </c>
      <c r="AI131" s="2">
        <v>700</v>
      </c>
      <c r="AJ131" s="7">
        <f t="shared" si="37"/>
        <v>5.04E-2</v>
      </c>
      <c r="AK131" s="8">
        <f t="shared" si="38"/>
        <v>-3.9999999999999758E-4</v>
      </c>
      <c r="AL131" s="56">
        <f t="shared" si="39"/>
        <v>2.0999999999999998E-2</v>
      </c>
      <c r="AM131" s="9">
        <f t="shared" si="40"/>
        <v>2.0000000000000004E-2</v>
      </c>
    </row>
    <row r="132" spans="1:63" thickTop="1" thickBot="1" x14ac:dyDescent="0.3">
      <c r="A132" s="4">
        <v>545</v>
      </c>
      <c r="B132" s="2">
        <v>55</v>
      </c>
      <c r="C132" s="2">
        <v>5</v>
      </c>
      <c r="E132" s="1">
        <v>134</v>
      </c>
      <c r="F132" s="1">
        <v>12</v>
      </c>
      <c r="G132" s="3">
        <f t="shared" si="34"/>
        <v>122</v>
      </c>
      <c r="I132" s="2">
        <v>93</v>
      </c>
      <c r="J132" s="3">
        <f t="shared" si="41"/>
        <v>-83.03790983606558</v>
      </c>
      <c r="K132" s="6">
        <f t="shared" si="35"/>
        <v>174</v>
      </c>
      <c r="O132" s="8">
        <v>9.8000000000000004E-2</v>
      </c>
      <c r="P132" s="9">
        <v>5.2999999999999999E-2</v>
      </c>
      <c r="R132" s="10">
        <v>143</v>
      </c>
      <c r="S132" s="11">
        <v>21</v>
      </c>
      <c r="T132" s="12">
        <v>1100</v>
      </c>
      <c r="V132" s="7">
        <v>0</v>
      </c>
      <c r="W132" s="74" t="e">
        <f t="shared" si="42"/>
        <v>#DIV/0!</v>
      </c>
      <c r="Y132" s="56">
        <v>156</v>
      </c>
      <c r="Z132" s="13">
        <f t="shared" si="36"/>
        <v>0.16251232694862386</v>
      </c>
      <c r="AB132">
        <f>90/4</f>
        <v>22.5</v>
      </c>
      <c r="AI132" s="2">
        <v>700</v>
      </c>
      <c r="AJ132" s="7">
        <f t="shared" si="37"/>
        <v>0.10009999999999999</v>
      </c>
      <c r="AK132" s="8">
        <f t="shared" si="38"/>
        <v>-2.0999999999999908E-3</v>
      </c>
      <c r="AL132" s="56">
        <f t="shared" si="39"/>
        <v>1.47E-2</v>
      </c>
      <c r="AM132" s="9">
        <f t="shared" si="40"/>
        <v>3.8300000000000001E-2</v>
      </c>
    </row>
    <row r="133" spans="1:63" s="27" customFormat="1" thickTop="1" thickBot="1" x14ac:dyDescent="0.3">
      <c r="A133" s="21">
        <v>545</v>
      </c>
      <c r="B133" s="22">
        <v>55</v>
      </c>
      <c r="C133" s="22">
        <v>5</v>
      </c>
      <c r="D133" s="23"/>
      <c r="E133" s="24">
        <v>134</v>
      </c>
      <c r="F133" s="24">
        <v>12</v>
      </c>
      <c r="G133" s="25">
        <f t="shared" si="34"/>
        <v>122</v>
      </c>
      <c r="H133" s="23"/>
      <c r="I133" s="22">
        <v>113</v>
      </c>
      <c r="J133" s="3">
        <f t="shared" si="41"/>
        <v>-83.960040983606575</v>
      </c>
      <c r="K133" s="26">
        <f t="shared" si="35"/>
        <v>174</v>
      </c>
      <c r="L133" s="23"/>
      <c r="N133" s="23"/>
      <c r="O133" s="28">
        <v>7.1999999999999995E-2</v>
      </c>
      <c r="P133" s="29">
        <v>3.6999999999999998E-2</v>
      </c>
      <c r="Q133" s="23"/>
      <c r="R133" s="30">
        <v>53</v>
      </c>
      <c r="S133" s="31">
        <v>24</v>
      </c>
      <c r="T133" s="32">
        <v>1000</v>
      </c>
      <c r="U133" s="23"/>
      <c r="V133" s="33">
        <v>78</v>
      </c>
      <c r="W133" s="75">
        <f t="shared" si="42"/>
        <v>18.116432546313533</v>
      </c>
      <c r="X133" s="5"/>
      <c r="Y133" s="55">
        <v>115</v>
      </c>
      <c r="Z133" s="34">
        <f t="shared" si="36"/>
        <v>0.16939791077198399</v>
      </c>
      <c r="AB133" s="27">
        <v>5</v>
      </c>
      <c r="AD133" s="5"/>
      <c r="AE133" s="28"/>
      <c r="AF133" s="3"/>
      <c r="AH133" s="5"/>
      <c r="AI133" s="2">
        <v>650</v>
      </c>
      <c r="AJ133" s="7">
        <f t="shared" si="37"/>
        <v>3.4450000000000001E-2</v>
      </c>
      <c r="AK133" s="8">
        <f t="shared" si="38"/>
        <v>3.7549999999999993E-2</v>
      </c>
      <c r="AL133" s="56">
        <f t="shared" si="39"/>
        <v>1.5599999999999999E-2</v>
      </c>
      <c r="AM133" s="9">
        <f t="shared" si="40"/>
        <v>2.1399999999999999E-2</v>
      </c>
      <c r="AN133" s="5"/>
      <c r="AO133" s="91"/>
      <c r="AP133" s="5"/>
      <c r="AQ133" s="96"/>
      <c r="AR133" s="5"/>
      <c r="AS133" s="30"/>
      <c r="AT133" s="31"/>
      <c r="AU133" s="32"/>
      <c r="BK133" s="5"/>
    </row>
    <row r="134" spans="1:63" thickTop="1" thickBot="1" x14ac:dyDescent="0.3">
      <c r="A134" s="15">
        <v>615</v>
      </c>
      <c r="B134" s="16">
        <v>60</v>
      </c>
      <c r="C134" s="16">
        <v>5</v>
      </c>
      <c r="D134" s="17"/>
      <c r="E134" s="1">
        <v>134</v>
      </c>
      <c r="F134" s="1">
        <v>13</v>
      </c>
      <c r="G134" s="18">
        <f t="shared" si="34"/>
        <v>121</v>
      </c>
      <c r="H134" s="17"/>
      <c r="I134" s="19">
        <v>10</v>
      </c>
      <c r="J134" s="3">
        <f t="shared" si="41"/>
        <v>-107.33987603305786</v>
      </c>
      <c r="K134" s="20">
        <f t="shared" si="35"/>
        <v>174</v>
      </c>
      <c r="L134" s="17"/>
      <c r="N134" s="17"/>
      <c r="O134" s="8">
        <v>6.9000000000000006E-2</v>
      </c>
      <c r="P134" s="9">
        <v>4.2000000000000003E-2</v>
      </c>
      <c r="Q134" s="17"/>
      <c r="R134" s="10">
        <v>74</v>
      </c>
      <c r="S134" s="11">
        <v>23</v>
      </c>
      <c r="T134" s="12">
        <v>1700</v>
      </c>
      <c r="U134" s="17"/>
      <c r="V134" s="7">
        <v>95</v>
      </c>
      <c r="W134" s="74">
        <f t="shared" si="42"/>
        <v>17.471781760734562</v>
      </c>
      <c r="Y134" s="56">
        <v>204</v>
      </c>
      <c r="Z134" s="13">
        <f t="shared" si="36"/>
        <v>0.15780355124113565</v>
      </c>
      <c r="AB134">
        <v>10</v>
      </c>
      <c r="AE134" s="8">
        <f>(O134*AB134+O135*AB135+O136*AB136)/100</f>
        <v>6.6300000000000012E-2</v>
      </c>
      <c r="AF134" s="3">
        <f>225-5.625*($B134-0.5)</f>
        <v>-109.6875</v>
      </c>
      <c r="AG134">
        <f>K134</f>
        <v>174</v>
      </c>
      <c r="AI134" s="2">
        <v>700</v>
      </c>
      <c r="AJ134" s="7">
        <f t="shared" si="37"/>
        <v>5.1799999999999999E-2</v>
      </c>
      <c r="AK134" s="8">
        <f t="shared" si="38"/>
        <v>1.7200000000000007E-2</v>
      </c>
      <c r="AL134" s="56">
        <f t="shared" si="39"/>
        <v>1.61E-2</v>
      </c>
      <c r="AM134" s="9">
        <f t="shared" si="40"/>
        <v>2.5900000000000003E-2</v>
      </c>
      <c r="AO134" s="90">
        <f>($AB134*AK134+$AB135*AK135+$AB136*AK136)/100</f>
        <v>-3.0499999999999196E-4</v>
      </c>
      <c r="AQ134" s="95">
        <f>($AB134*AM134+$AB135*AM135+$AB136*AM136)/100</f>
        <v>1.8384999999999999E-2</v>
      </c>
      <c r="AS134" s="10">
        <f>($AB134*R134+$AB135*R135+$AB136*R136)/100</f>
        <v>95.15</v>
      </c>
      <c r="AT134" s="11">
        <f>($AB134*S134+$AB135*S135+$AB136*S136)/100</f>
        <v>27.95</v>
      </c>
      <c r="AU134" s="12">
        <f>($AB134*T134+$AB135*T135+$AB136*T136)/100</f>
        <v>1610</v>
      </c>
    </row>
    <row r="135" spans="1:63" thickTop="1" thickBot="1" x14ac:dyDescent="0.3">
      <c r="A135" s="4">
        <v>615</v>
      </c>
      <c r="B135" s="93">
        <v>60</v>
      </c>
      <c r="C135" s="93">
        <v>5</v>
      </c>
      <c r="E135" s="1">
        <v>134</v>
      </c>
      <c r="F135" s="1">
        <v>13</v>
      </c>
      <c r="G135" s="3">
        <f t="shared" si="34"/>
        <v>121</v>
      </c>
      <c r="I135" s="2">
        <v>61</v>
      </c>
      <c r="J135" s="3">
        <f t="shared" si="41"/>
        <v>-109.71074380165288</v>
      </c>
      <c r="K135" s="6">
        <f t="shared" si="35"/>
        <v>174</v>
      </c>
      <c r="O135" s="8">
        <v>6.9000000000000006E-2</v>
      </c>
      <c r="P135" s="9">
        <v>4.2999999999999997E-2</v>
      </c>
      <c r="R135" s="10">
        <v>86</v>
      </c>
      <c r="S135" s="11">
        <v>24</v>
      </c>
      <c r="T135" s="12">
        <v>1600</v>
      </c>
      <c r="V135" s="7">
        <v>0</v>
      </c>
      <c r="W135" s="74" t="e">
        <f t="shared" si="42"/>
        <v>#DIV/0!</v>
      </c>
      <c r="Y135" s="56">
        <v>204</v>
      </c>
      <c r="Z135" s="13">
        <f t="shared" si="36"/>
        <v>0.15780355124113565</v>
      </c>
      <c r="AB135">
        <v>45</v>
      </c>
      <c r="AI135" s="2">
        <v>700</v>
      </c>
      <c r="AJ135" s="7">
        <f t="shared" si="37"/>
        <v>6.0199999999999997E-2</v>
      </c>
      <c r="AK135" s="8">
        <f t="shared" si="38"/>
        <v>8.8000000000000092E-3</v>
      </c>
      <c r="AL135" s="56">
        <f t="shared" si="39"/>
        <v>1.6799999999999999E-2</v>
      </c>
      <c r="AM135" s="9">
        <f t="shared" si="40"/>
        <v>2.6199999999999998E-2</v>
      </c>
    </row>
    <row r="136" spans="1:63" s="27" customFormat="1" thickTop="1" thickBot="1" x14ac:dyDescent="0.3">
      <c r="A136" s="21">
        <v>615</v>
      </c>
      <c r="B136" s="22">
        <v>60</v>
      </c>
      <c r="C136" s="22">
        <v>5</v>
      </c>
      <c r="D136" s="23"/>
      <c r="E136" s="24">
        <v>134</v>
      </c>
      <c r="F136" s="24">
        <v>13</v>
      </c>
      <c r="G136" s="25">
        <f t="shared" si="34"/>
        <v>121</v>
      </c>
      <c r="H136" s="23"/>
      <c r="I136" s="22">
        <v>111</v>
      </c>
      <c r="J136" s="3">
        <f t="shared" si="41"/>
        <v>-112.03512396694214</v>
      </c>
      <c r="K136" s="26">
        <f t="shared" si="35"/>
        <v>174</v>
      </c>
      <c r="L136" s="23"/>
      <c r="N136" s="23"/>
      <c r="O136" s="28">
        <v>6.3E-2</v>
      </c>
      <c r="P136" s="29">
        <v>3.2000000000000001E-2</v>
      </c>
      <c r="Q136" s="23"/>
      <c r="R136" s="30">
        <v>109</v>
      </c>
      <c r="S136" s="31">
        <v>33</v>
      </c>
      <c r="T136" s="32">
        <v>1600</v>
      </c>
      <c r="U136" s="23"/>
      <c r="V136" s="33">
        <v>0</v>
      </c>
      <c r="W136" s="34" t="e">
        <f t="shared" si="42"/>
        <v>#DIV/0!</v>
      </c>
      <c r="X136" s="5"/>
      <c r="Y136" s="55">
        <v>159</v>
      </c>
      <c r="Z136" s="34">
        <f t="shared" si="36"/>
        <v>0.16213977974605934</v>
      </c>
      <c r="AB136" s="27">
        <v>45</v>
      </c>
      <c r="AD136" s="5"/>
      <c r="AE136" s="28"/>
      <c r="AF136" s="3"/>
      <c r="AH136" s="5"/>
      <c r="AI136" s="2">
        <v>700</v>
      </c>
      <c r="AJ136" s="7">
        <f t="shared" si="37"/>
        <v>7.6299999999999993E-2</v>
      </c>
      <c r="AK136" s="8">
        <f t="shared" si="38"/>
        <v>-1.3299999999999992E-2</v>
      </c>
      <c r="AL136" s="56">
        <f t="shared" si="39"/>
        <v>2.3099999999999999E-2</v>
      </c>
      <c r="AM136" s="9">
        <f t="shared" si="40"/>
        <v>8.9000000000000017E-3</v>
      </c>
      <c r="AN136" s="5"/>
      <c r="AO136" s="91"/>
      <c r="AP136" s="5"/>
      <c r="AQ136" s="96"/>
      <c r="AR136" s="5"/>
      <c r="AS136" s="30"/>
      <c r="AT136" s="31"/>
      <c r="AU136" s="32"/>
      <c r="BK136" s="5"/>
    </row>
    <row r="137" spans="1:63" thickTop="1" thickBot="1" x14ac:dyDescent="0.3">
      <c r="A137" s="15">
        <v>625</v>
      </c>
      <c r="B137" s="16">
        <v>61</v>
      </c>
      <c r="C137" s="16">
        <v>5</v>
      </c>
      <c r="D137" s="17"/>
      <c r="E137" s="1">
        <v>132</v>
      </c>
      <c r="F137" s="1">
        <v>12</v>
      </c>
      <c r="G137" s="18">
        <f t="shared" si="34"/>
        <v>120</v>
      </c>
      <c r="H137" s="17"/>
      <c r="I137" s="19">
        <v>10</v>
      </c>
      <c r="J137" s="3">
        <f t="shared" si="41"/>
        <v>-112.96875</v>
      </c>
      <c r="K137" s="20">
        <f t="shared" si="35"/>
        <v>174</v>
      </c>
      <c r="L137" s="17"/>
      <c r="N137" s="17"/>
      <c r="O137" s="8">
        <v>3.5999999999999997E-2</v>
      </c>
      <c r="P137" s="9">
        <v>3.4000000000000002E-2</v>
      </c>
      <c r="Q137" s="17"/>
      <c r="R137" s="10">
        <v>50</v>
      </c>
      <c r="S137" s="11">
        <v>50</v>
      </c>
      <c r="T137" s="76">
        <v>1800</v>
      </c>
      <c r="U137" s="17"/>
      <c r="V137" s="7">
        <v>0</v>
      </c>
      <c r="W137" s="74" t="e">
        <f t="shared" si="42"/>
        <v>#DIV/0!</v>
      </c>
      <c r="Y137" s="56">
        <v>0</v>
      </c>
      <c r="Z137" s="13" t="e">
        <f t="shared" si="36"/>
        <v>#DIV/0!</v>
      </c>
      <c r="AB137" s="72">
        <v>15</v>
      </c>
      <c r="AE137" s="8">
        <f>(O137*AB137+O138*AB138+O139*AB139+O140*AB140+O141*AB141+O142*AB142)/100</f>
        <v>0.10583749999999999</v>
      </c>
      <c r="AF137" s="3">
        <f>225-5.625*($B137-0.5)</f>
        <v>-115.3125</v>
      </c>
      <c r="AG137">
        <f>K137</f>
        <v>174</v>
      </c>
      <c r="AI137" s="2">
        <v>700</v>
      </c>
      <c r="AJ137" s="7">
        <f t="shared" si="37"/>
        <v>3.4999999999999996E-2</v>
      </c>
      <c r="AK137" s="8">
        <f t="shared" si="38"/>
        <v>1.0000000000000009E-3</v>
      </c>
      <c r="AL137" s="56">
        <f t="shared" si="39"/>
        <v>3.4999999999999996E-2</v>
      </c>
      <c r="AM137" s="9">
        <f t="shared" si="40"/>
        <v>-9.9999999999999395E-4</v>
      </c>
      <c r="AO137" s="90">
        <f>($AB137*AK137+$AB138*AK138+$AB139*AK139+$AB140*AK140+$AB141*AK141+$AB142*AK142)/100</f>
        <v>2.6783750000000009E-2</v>
      </c>
      <c r="AQ137" s="95">
        <f>($AB137*AM137+$AB138*AM138+$AB139*AM139+$AB140*AM140+$AB141*AM141+$AB142*AM142)/100</f>
        <v>2.5086250000000004E-2</v>
      </c>
      <c r="AS137" s="10">
        <f>($AB137*R137+$AB138*R138+$AB139*R139+$AB140*R140+$AB141*R141+$AB142*R142)/100</f>
        <v>110.16249999999999</v>
      </c>
      <c r="AT137" s="11">
        <f>($AB137*S137+$AB138*S138+$AB139*S139+$AB140*S140+$AB141*S141+$AB142*S142)/100</f>
        <v>33.325000000000003</v>
      </c>
      <c r="AU137" s="12">
        <f>($AB137*T137+$AB138*T138+$AB139*T139+$AB140*T140+$AB141*T141+$AB142*T142)/100</f>
        <v>2008.75</v>
      </c>
    </row>
    <row r="138" spans="1:63" thickTop="1" thickBot="1" x14ac:dyDescent="0.3">
      <c r="A138" s="4">
        <v>625</v>
      </c>
      <c r="B138" s="93">
        <v>61</v>
      </c>
      <c r="C138" s="93">
        <v>5</v>
      </c>
      <c r="E138" s="1">
        <v>132</v>
      </c>
      <c r="F138" s="1">
        <v>12</v>
      </c>
      <c r="G138" s="3">
        <f t="shared" si="34"/>
        <v>120</v>
      </c>
      <c r="I138" s="2">
        <v>30</v>
      </c>
      <c r="J138" s="3">
        <f t="shared" si="41"/>
        <v>-113.90625</v>
      </c>
      <c r="K138" s="6">
        <f t="shared" si="35"/>
        <v>174</v>
      </c>
      <c r="O138" s="8">
        <v>0.123</v>
      </c>
      <c r="P138" s="9">
        <v>5.3999999999999999E-2</v>
      </c>
      <c r="R138" s="10">
        <v>138</v>
      </c>
      <c r="S138" s="11">
        <v>35</v>
      </c>
      <c r="T138" s="12">
        <v>2100</v>
      </c>
      <c r="V138" s="7">
        <v>211</v>
      </c>
      <c r="W138" s="74">
        <f t="shared" si="42"/>
        <v>15.728743272394968</v>
      </c>
      <c r="Y138" s="56">
        <v>240</v>
      </c>
      <c r="Z138" s="13">
        <f t="shared" si="36"/>
        <v>0.15545631755148026</v>
      </c>
      <c r="AB138">
        <f>75/4</f>
        <v>18.75</v>
      </c>
      <c r="AI138" s="2">
        <v>700</v>
      </c>
      <c r="AJ138" s="7">
        <f t="shared" si="37"/>
        <v>9.6599999999999991E-2</v>
      </c>
      <c r="AK138" s="8">
        <f t="shared" si="38"/>
        <v>2.6400000000000007E-2</v>
      </c>
      <c r="AL138" s="56">
        <f t="shared" si="39"/>
        <v>2.4499999999999997E-2</v>
      </c>
      <c r="AM138" s="9">
        <f t="shared" si="40"/>
        <v>2.9500000000000002E-2</v>
      </c>
    </row>
    <row r="139" spans="1:63" thickTop="1" thickBot="1" x14ac:dyDescent="0.3">
      <c r="A139" s="4">
        <v>625</v>
      </c>
      <c r="B139" s="93">
        <v>61</v>
      </c>
      <c r="C139" s="93">
        <v>5</v>
      </c>
      <c r="E139" s="1">
        <v>132</v>
      </c>
      <c r="F139" s="1">
        <v>12</v>
      </c>
      <c r="G139" s="3">
        <f t="shared" si="34"/>
        <v>120</v>
      </c>
      <c r="I139" s="2">
        <v>50</v>
      </c>
      <c r="J139" s="3">
        <f t="shared" si="41"/>
        <v>-114.84375</v>
      </c>
      <c r="K139" s="6">
        <f t="shared" si="35"/>
        <v>174</v>
      </c>
      <c r="O139" s="8">
        <v>0.114</v>
      </c>
      <c r="P139" s="9">
        <v>5.5E-2</v>
      </c>
      <c r="R139" s="10">
        <v>130</v>
      </c>
      <c r="S139" s="11">
        <v>41</v>
      </c>
      <c r="T139" s="12">
        <v>2500</v>
      </c>
      <c r="V139" s="7">
        <v>0</v>
      </c>
      <c r="W139" s="74" t="e">
        <f t="shared" si="42"/>
        <v>#DIV/0!</v>
      </c>
      <c r="Y139" s="56">
        <v>213</v>
      </c>
      <c r="Z139" s="13">
        <f t="shared" si="36"/>
        <v>0.15714590570788403</v>
      </c>
      <c r="AB139">
        <f>75/4</f>
        <v>18.75</v>
      </c>
      <c r="AI139" s="2">
        <v>700</v>
      </c>
      <c r="AJ139" s="7">
        <f t="shared" si="37"/>
        <v>9.0999999999999998E-2</v>
      </c>
      <c r="AK139" s="8">
        <f t="shared" si="38"/>
        <v>2.3000000000000007E-2</v>
      </c>
      <c r="AL139" s="56">
        <f t="shared" si="39"/>
        <v>2.87E-2</v>
      </c>
      <c r="AM139" s="9">
        <f t="shared" si="40"/>
        <v>2.63E-2</v>
      </c>
    </row>
    <row r="140" spans="1:63" thickTop="1" thickBot="1" x14ac:dyDescent="0.3">
      <c r="A140" s="4">
        <v>625</v>
      </c>
      <c r="B140" s="93">
        <v>61</v>
      </c>
      <c r="C140" s="93">
        <v>5</v>
      </c>
      <c r="E140" s="1">
        <v>132</v>
      </c>
      <c r="F140" s="1">
        <v>12</v>
      </c>
      <c r="G140" s="3">
        <f t="shared" si="34"/>
        <v>120</v>
      </c>
      <c r="I140" s="2">
        <v>70</v>
      </c>
      <c r="J140" s="3">
        <f t="shared" si="41"/>
        <v>-115.78125</v>
      </c>
      <c r="K140" s="6">
        <f t="shared" si="35"/>
        <v>174</v>
      </c>
      <c r="O140" s="8">
        <v>0.16400000000000001</v>
      </c>
      <c r="P140" s="9">
        <v>6.6000000000000003E-2</v>
      </c>
      <c r="R140" s="10">
        <v>120</v>
      </c>
      <c r="S140" s="11">
        <v>31</v>
      </c>
      <c r="T140" s="12">
        <v>2500</v>
      </c>
      <c r="V140" s="7">
        <v>222</v>
      </c>
      <c r="W140" s="74">
        <f t="shared" si="42"/>
        <v>15.653914687548451</v>
      </c>
      <c r="Y140" s="56">
        <v>289</v>
      </c>
      <c r="Z140" s="13">
        <f t="shared" si="36"/>
        <v>0.15316725372107692</v>
      </c>
      <c r="AB140">
        <f>75/4</f>
        <v>18.75</v>
      </c>
      <c r="AI140" s="2">
        <v>800</v>
      </c>
      <c r="AJ140" s="7">
        <f t="shared" si="37"/>
        <v>9.6000000000000002E-2</v>
      </c>
      <c r="AK140" s="8">
        <f t="shared" si="38"/>
        <v>6.8000000000000005E-2</v>
      </c>
      <c r="AL140" s="56">
        <f t="shared" si="39"/>
        <v>2.4799999999999999E-2</v>
      </c>
      <c r="AM140" s="9">
        <f t="shared" si="40"/>
        <v>4.1200000000000001E-2</v>
      </c>
    </row>
    <row r="141" spans="1:63" thickTop="1" thickBot="1" x14ac:dyDescent="0.3">
      <c r="A141" s="4">
        <v>625</v>
      </c>
      <c r="B141" s="93">
        <v>61</v>
      </c>
      <c r="C141" s="93">
        <v>5</v>
      </c>
      <c r="E141" s="1">
        <v>132</v>
      </c>
      <c r="F141" s="1">
        <v>12</v>
      </c>
      <c r="G141" s="3">
        <f t="shared" si="34"/>
        <v>120</v>
      </c>
      <c r="I141" s="2">
        <v>90</v>
      </c>
      <c r="J141" s="3">
        <f t="shared" si="41"/>
        <v>-116.71875</v>
      </c>
      <c r="K141" s="6">
        <f t="shared" si="35"/>
        <v>174</v>
      </c>
      <c r="O141" s="8">
        <v>0.124</v>
      </c>
      <c r="P141" s="9">
        <v>5.5E-2</v>
      </c>
      <c r="R141" s="10">
        <v>143</v>
      </c>
      <c r="S141" s="11">
        <v>27</v>
      </c>
      <c r="T141" s="12">
        <v>1800</v>
      </c>
      <c r="V141" s="7">
        <v>0</v>
      </c>
      <c r="W141" s="74" t="e">
        <f t="shared" si="42"/>
        <v>#DIV/0!</v>
      </c>
      <c r="Y141" s="56">
        <v>330</v>
      </c>
      <c r="Z141" s="13">
        <f t="shared" si="36"/>
        <v>0.15175738212786563</v>
      </c>
      <c r="AB141">
        <f>75/4</f>
        <v>18.75</v>
      </c>
      <c r="AI141" s="2">
        <v>700</v>
      </c>
      <c r="AJ141" s="7">
        <f t="shared" si="37"/>
        <v>0.10009999999999999</v>
      </c>
      <c r="AK141" s="8">
        <f t="shared" si="38"/>
        <v>2.3900000000000005E-2</v>
      </c>
      <c r="AL141" s="56">
        <f t="shared" si="39"/>
        <v>1.89E-2</v>
      </c>
      <c r="AM141" s="9">
        <f t="shared" si="40"/>
        <v>3.61E-2</v>
      </c>
    </row>
    <row r="142" spans="1:63" s="27" customFormat="1" thickTop="1" thickBot="1" x14ac:dyDescent="0.3">
      <c r="A142" s="21">
        <v>625</v>
      </c>
      <c r="B142" s="22">
        <v>61</v>
      </c>
      <c r="C142" s="22">
        <v>5</v>
      </c>
      <c r="D142" s="23"/>
      <c r="E142" s="24">
        <v>132</v>
      </c>
      <c r="F142" s="24">
        <v>12</v>
      </c>
      <c r="G142" s="25">
        <f t="shared" si="34"/>
        <v>120</v>
      </c>
      <c r="H142" s="23"/>
      <c r="I142" s="22">
        <v>110</v>
      </c>
      <c r="J142" s="3">
        <f t="shared" si="41"/>
        <v>-117.65625</v>
      </c>
      <c r="K142" s="26">
        <f t="shared" si="35"/>
        <v>174</v>
      </c>
      <c r="L142" s="23"/>
      <c r="N142" s="23"/>
      <c r="O142" s="28">
        <v>0.02</v>
      </c>
      <c r="P142" s="29">
        <v>7.0000000000000001E-3</v>
      </c>
      <c r="Q142" s="23"/>
      <c r="R142" s="30">
        <v>31</v>
      </c>
      <c r="S142" s="31">
        <v>7</v>
      </c>
      <c r="T142" s="32">
        <v>700</v>
      </c>
      <c r="U142" s="23"/>
      <c r="V142" s="33">
        <v>0</v>
      </c>
      <c r="W142" s="34" t="e">
        <f t="shared" si="42"/>
        <v>#DIV/0!</v>
      </c>
      <c r="X142" s="5"/>
      <c r="Y142" s="55">
        <v>47</v>
      </c>
      <c r="Z142" s="34">
        <f t="shared" si="36"/>
        <v>0.20316642376308358</v>
      </c>
      <c r="AB142" s="27">
        <v>10</v>
      </c>
      <c r="AD142" s="5"/>
      <c r="AE142" s="28"/>
      <c r="AF142" s="3"/>
      <c r="AH142" s="5"/>
      <c r="AI142" s="2">
        <v>600</v>
      </c>
      <c r="AJ142" s="7">
        <f t="shared" si="37"/>
        <v>1.8599999999999998E-2</v>
      </c>
      <c r="AK142" s="8">
        <f t="shared" si="38"/>
        <v>1.4000000000000019E-3</v>
      </c>
      <c r="AL142" s="56">
        <f t="shared" si="39"/>
        <v>4.1999999999999997E-3</v>
      </c>
      <c r="AM142" s="9">
        <f t="shared" si="40"/>
        <v>2.8000000000000004E-3</v>
      </c>
      <c r="AN142" s="5"/>
      <c r="AO142" s="91"/>
      <c r="AP142" s="5"/>
      <c r="AQ142" s="96"/>
      <c r="AR142" s="5"/>
      <c r="AS142" s="30"/>
      <c r="AT142" s="31"/>
      <c r="AU142" s="32"/>
      <c r="BK142" s="5"/>
    </row>
    <row r="143" spans="1:63" thickTop="1" thickBot="1" x14ac:dyDescent="0.3">
      <c r="A143" s="15">
        <v>635</v>
      </c>
      <c r="B143" s="16">
        <v>2</v>
      </c>
      <c r="C143" s="16">
        <v>5</v>
      </c>
      <c r="D143" s="17"/>
      <c r="E143" s="1">
        <v>132</v>
      </c>
      <c r="F143" s="1">
        <v>11</v>
      </c>
      <c r="G143" s="18">
        <f t="shared" si="34"/>
        <v>121</v>
      </c>
      <c r="H143" s="17"/>
      <c r="I143" s="19">
        <v>10</v>
      </c>
      <c r="J143" s="3">
        <f t="shared" si="41"/>
        <v>218.91012396694214</v>
      </c>
      <c r="K143" s="20">
        <f t="shared" si="35"/>
        <v>174</v>
      </c>
      <c r="L143" s="17"/>
      <c r="N143" s="17"/>
      <c r="O143" s="8">
        <v>5.5E-2</v>
      </c>
      <c r="P143" s="9">
        <v>1.2E-2</v>
      </c>
      <c r="Q143" s="17"/>
      <c r="R143" s="10">
        <v>31</v>
      </c>
      <c r="S143" s="11">
        <v>13</v>
      </c>
      <c r="T143" s="12">
        <v>900</v>
      </c>
      <c r="U143" s="17"/>
      <c r="V143" s="7">
        <v>159</v>
      </c>
      <c r="W143" s="74">
        <f t="shared" si="42"/>
        <v>16.213977974605935</v>
      </c>
      <c r="Y143" s="56">
        <v>111</v>
      </c>
      <c r="Z143" s="13">
        <f t="shared" si="36"/>
        <v>0.17032031296650735</v>
      </c>
      <c r="AB143" s="72">
        <v>10</v>
      </c>
      <c r="AE143" s="8">
        <f>(O143*AB143+O144*AB144+O145*AB145+O146*AB146+O147*AB147+O148*AB148)/100</f>
        <v>9.8912500000000014E-2</v>
      </c>
      <c r="AF143" s="3">
        <f>225-5.625*($B143-0.5)</f>
        <v>216.5625</v>
      </c>
      <c r="AG143">
        <f>K143</f>
        <v>174</v>
      </c>
      <c r="AI143" s="2">
        <v>600</v>
      </c>
      <c r="AJ143" s="7">
        <f t="shared" si="37"/>
        <v>1.8599999999999998E-2</v>
      </c>
      <c r="AK143" s="8">
        <f t="shared" si="38"/>
        <v>3.6400000000000002E-2</v>
      </c>
      <c r="AL143" s="56">
        <f t="shared" si="39"/>
        <v>7.7999999999999996E-3</v>
      </c>
      <c r="AM143" s="9">
        <f t="shared" si="40"/>
        <v>4.2000000000000006E-3</v>
      </c>
      <c r="AO143" s="90">
        <f>($AB143*AK143+$AB144*AK144+$AB145*AK145+$AB146*AK146+$AB147*AK147+$AB148*AK148)/100</f>
        <v>2.0172500000000003E-2</v>
      </c>
      <c r="AQ143" s="95">
        <f>($AB143*AM143+$AB144*AM144+$AB145*AM145+$AB146*AM146+$AB147*AM147+$AB148*AM148)/100</f>
        <v>3.5776250000000002E-2</v>
      </c>
      <c r="AS143" s="10">
        <f>($AB143*R143+$AB144*R144+$AB145*R145+$AB146*R146+$AB147*R147+$AB148*R148)/100</f>
        <v>90.0625</v>
      </c>
      <c r="AT143" s="11">
        <f>($AB143*S143+$AB144*S144+$AB145*S145+$AB146*S146+$AB147*S147+$AB148*S148)/100</f>
        <v>69.575000000000003</v>
      </c>
      <c r="AU143" s="12">
        <f>($AB143*T143+$AB144*T144+$AB145*T145+$AB146*T146+$AB147*T147+$AB148*T148)/100</f>
        <v>2432.5</v>
      </c>
    </row>
    <row r="144" spans="1:63" thickTop="1" thickBot="1" x14ac:dyDescent="0.3">
      <c r="A144" s="4">
        <v>635</v>
      </c>
      <c r="B144" s="2">
        <v>2</v>
      </c>
      <c r="C144" s="2">
        <v>5</v>
      </c>
      <c r="E144" s="1">
        <v>132</v>
      </c>
      <c r="F144" s="1">
        <v>11</v>
      </c>
      <c r="G144" s="3">
        <f t="shared" si="34"/>
        <v>121</v>
      </c>
      <c r="I144" s="2">
        <v>30</v>
      </c>
      <c r="J144" s="3">
        <f t="shared" si="41"/>
        <v>217.98037190082644</v>
      </c>
      <c r="K144" s="6">
        <f t="shared" si="35"/>
        <v>174</v>
      </c>
      <c r="O144" s="8">
        <v>0.08</v>
      </c>
      <c r="P144" s="9">
        <v>3.7999999999999999E-2</v>
      </c>
      <c r="R144" s="10">
        <v>21</v>
      </c>
      <c r="S144" s="11">
        <v>108</v>
      </c>
      <c r="T144" s="12">
        <v>2400</v>
      </c>
      <c r="V144" s="7">
        <v>191</v>
      </c>
      <c r="W144" s="74">
        <f t="shared" si="42"/>
        <v>15.885717514245567</v>
      </c>
      <c r="Y144" s="56">
        <v>0</v>
      </c>
      <c r="Z144" s="13" t="e">
        <f t="shared" si="36"/>
        <v>#DIV/0!</v>
      </c>
      <c r="AB144">
        <f>85/4</f>
        <v>21.25</v>
      </c>
      <c r="AI144" s="2">
        <v>400</v>
      </c>
      <c r="AJ144" s="7">
        <f t="shared" si="37"/>
        <v>8.3999999999999995E-3</v>
      </c>
      <c r="AK144" s="8">
        <f t="shared" si="38"/>
        <v>7.1599999999999997E-2</v>
      </c>
      <c r="AL144" s="56">
        <f t="shared" si="39"/>
        <v>4.3199999999999995E-2</v>
      </c>
      <c r="AM144" s="9">
        <f t="shared" si="40"/>
        <v>-5.1999999999999963E-3</v>
      </c>
    </row>
    <row r="145" spans="1:63" thickTop="1" thickBot="1" x14ac:dyDescent="0.3">
      <c r="A145" s="4">
        <v>635</v>
      </c>
      <c r="B145" s="93">
        <v>2</v>
      </c>
      <c r="C145" s="93">
        <v>5</v>
      </c>
      <c r="E145" s="1">
        <v>132</v>
      </c>
      <c r="F145" s="1">
        <v>11</v>
      </c>
      <c r="G145" s="3">
        <f t="shared" si="34"/>
        <v>121</v>
      </c>
      <c r="I145" s="2">
        <v>50</v>
      </c>
      <c r="J145" s="3">
        <f t="shared" si="41"/>
        <v>217.05061983471074</v>
      </c>
      <c r="K145" s="6">
        <f t="shared" si="35"/>
        <v>174</v>
      </c>
      <c r="O145" s="8">
        <v>7.2999999999999995E-2</v>
      </c>
      <c r="P145" s="9">
        <v>6.8000000000000005E-2</v>
      </c>
      <c r="R145" s="10">
        <v>54</v>
      </c>
      <c r="S145" s="11">
        <v>99</v>
      </c>
      <c r="T145" s="12">
        <v>2400</v>
      </c>
      <c r="V145" s="7">
        <v>215</v>
      </c>
      <c r="W145" s="74">
        <f t="shared" si="42"/>
        <v>15.700688771737905</v>
      </c>
      <c r="Y145" s="56">
        <v>0</v>
      </c>
      <c r="Z145" s="13" t="e">
        <f t="shared" si="36"/>
        <v>#DIV/0!</v>
      </c>
      <c r="AB145">
        <f>85/4</f>
        <v>21.25</v>
      </c>
      <c r="AI145" s="2">
        <v>600</v>
      </c>
      <c r="AJ145" s="7">
        <f t="shared" si="37"/>
        <v>3.2399999999999998E-2</v>
      </c>
      <c r="AK145" s="8">
        <f t="shared" si="38"/>
        <v>4.0599999999999997E-2</v>
      </c>
      <c r="AL145" s="56">
        <f t="shared" si="39"/>
        <v>5.9399999999999994E-2</v>
      </c>
      <c r="AM145" s="9">
        <f t="shared" si="40"/>
        <v>8.6000000000000104E-3</v>
      </c>
    </row>
    <row r="146" spans="1:63" thickTop="1" thickBot="1" x14ac:dyDescent="0.3">
      <c r="A146" s="4">
        <v>635</v>
      </c>
      <c r="B146" s="93">
        <v>2</v>
      </c>
      <c r="C146" s="93">
        <v>5</v>
      </c>
      <c r="E146" s="1">
        <v>132</v>
      </c>
      <c r="F146" s="1">
        <v>11</v>
      </c>
      <c r="G146" s="3">
        <f t="shared" si="34"/>
        <v>121</v>
      </c>
      <c r="I146" s="2">
        <v>70</v>
      </c>
      <c r="J146" s="3">
        <f t="shared" si="41"/>
        <v>216.12086776859505</v>
      </c>
      <c r="K146" s="6">
        <f t="shared" si="35"/>
        <v>174</v>
      </c>
      <c r="O146" s="8">
        <v>0.155</v>
      </c>
      <c r="P146" s="9">
        <v>0.14000000000000001</v>
      </c>
      <c r="R146" s="10">
        <v>226</v>
      </c>
      <c r="S146" s="11">
        <v>46</v>
      </c>
      <c r="T146" s="76">
        <v>2900</v>
      </c>
      <c r="V146" s="7">
        <v>0</v>
      </c>
      <c r="W146" s="74" t="e">
        <f t="shared" si="42"/>
        <v>#DIV/0!</v>
      </c>
      <c r="Y146" s="56">
        <v>1254</v>
      </c>
      <c r="Z146" s="13">
        <f t="shared" si="36"/>
        <v>0.1442132038541174</v>
      </c>
      <c r="AB146">
        <f>85/4</f>
        <v>21.25</v>
      </c>
      <c r="AI146" s="2">
        <v>1000</v>
      </c>
      <c r="AJ146" s="7">
        <f t="shared" si="37"/>
        <v>0.22599999999999998</v>
      </c>
      <c r="AK146" s="8">
        <f t="shared" si="38"/>
        <v>-7.099999999999998E-2</v>
      </c>
      <c r="AL146" s="56">
        <f t="shared" si="39"/>
        <v>4.5999999999999999E-2</v>
      </c>
      <c r="AM146" s="9">
        <f t="shared" si="40"/>
        <v>9.4000000000000014E-2</v>
      </c>
    </row>
    <row r="147" spans="1:63" thickTop="1" thickBot="1" x14ac:dyDescent="0.3">
      <c r="A147" s="4">
        <v>635</v>
      </c>
      <c r="B147" s="2">
        <v>2</v>
      </c>
      <c r="C147" s="2">
        <v>5</v>
      </c>
      <c r="E147" s="1">
        <v>132</v>
      </c>
      <c r="F147" s="1">
        <v>11</v>
      </c>
      <c r="G147" s="3">
        <f t="shared" si="34"/>
        <v>121</v>
      </c>
      <c r="I147" s="2">
        <v>90</v>
      </c>
      <c r="J147" s="3">
        <f t="shared" si="41"/>
        <v>215.19111570247935</v>
      </c>
      <c r="K147" s="6">
        <f t="shared" si="35"/>
        <v>174</v>
      </c>
      <c r="O147" s="8">
        <v>0.11700000000000001</v>
      </c>
      <c r="P147" s="9">
        <v>0.124</v>
      </c>
      <c r="R147" s="10">
        <v>84</v>
      </c>
      <c r="S147" s="11">
        <v>65</v>
      </c>
      <c r="T147" s="76">
        <v>2900</v>
      </c>
      <c r="V147" s="7">
        <v>322</v>
      </c>
      <c r="W147" s="74">
        <f t="shared" si="42"/>
        <v>15.20052303774834</v>
      </c>
      <c r="Y147" s="56">
        <v>1214</v>
      </c>
      <c r="Z147" s="13">
        <f t="shared" si="36"/>
        <v>0.1443042730794728</v>
      </c>
      <c r="AB147">
        <f>85/4</f>
        <v>21.25</v>
      </c>
      <c r="AI147" s="2">
        <v>900</v>
      </c>
      <c r="AJ147" s="7">
        <f t="shared" si="37"/>
        <v>7.5600000000000001E-2</v>
      </c>
      <c r="AK147" s="8">
        <f t="shared" si="38"/>
        <v>4.1400000000000006E-2</v>
      </c>
      <c r="AL147" s="56">
        <f t="shared" si="39"/>
        <v>5.8499999999999996E-2</v>
      </c>
      <c r="AM147" s="9">
        <f t="shared" si="40"/>
        <v>6.5500000000000003E-2</v>
      </c>
    </row>
    <row r="148" spans="1:63" s="27" customFormat="1" thickTop="1" thickBot="1" x14ac:dyDescent="0.3">
      <c r="A148" s="21">
        <v>635</v>
      </c>
      <c r="B148" s="22">
        <v>2</v>
      </c>
      <c r="C148" s="22">
        <v>5</v>
      </c>
      <c r="D148" s="23"/>
      <c r="E148" s="24">
        <v>132</v>
      </c>
      <c r="F148" s="24">
        <v>11</v>
      </c>
      <c r="G148" s="25">
        <f t="shared" si="34"/>
        <v>121</v>
      </c>
      <c r="H148" s="23"/>
      <c r="I148" s="22">
        <v>110</v>
      </c>
      <c r="J148" s="3">
        <f t="shared" si="41"/>
        <v>214.26136363636363</v>
      </c>
      <c r="K148" s="26">
        <f t="shared" si="35"/>
        <v>174</v>
      </c>
      <c r="L148" s="23"/>
      <c r="N148" s="23"/>
      <c r="O148" s="28">
        <v>6.2E-2</v>
      </c>
      <c r="P148" s="29">
        <v>2.5999999999999999E-2</v>
      </c>
      <c r="Q148" s="23"/>
      <c r="R148" s="30">
        <v>103</v>
      </c>
      <c r="S148" s="31">
        <v>14</v>
      </c>
      <c r="T148" s="77">
        <v>1800</v>
      </c>
      <c r="U148" s="23"/>
      <c r="V148" s="33">
        <v>0</v>
      </c>
      <c r="W148" s="34" t="e">
        <f t="shared" si="42"/>
        <v>#DIV/0!</v>
      </c>
      <c r="X148" s="5"/>
      <c r="Y148" s="55">
        <v>214</v>
      </c>
      <c r="Z148" s="34">
        <f t="shared" si="36"/>
        <v>0.15707608728339806</v>
      </c>
      <c r="AB148" s="27">
        <v>5</v>
      </c>
      <c r="AD148" s="5"/>
      <c r="AE148" s="28"/>
      <c r="AF148" s="3"/>
      <c r="AH148" s="5"/>
      <c r="AI148" s="2">
        <v>800</v>
      </c>
      <c r="AJ148" s="7">
        <f t="shared" si="37"/>
        <v>8.2400000000000001E-2</v>
      </c>
      <c r="AK148" s="8">
        <f t="shared" si="38"/>
        <v>-2.0400000000000001E-2</v>
      </c>
      <c r="AL148" s="56">
        <f t="shared" si="39"/>
        <v>1.12E-2</v>
      </c>
      <c r="AM148" s="9">
        <f t="shared" si="40"/>
        <v>1.4799999999999999E-2</v>
      </c>
      <c r="AN148" s="5"/>
      <c r="AO148" s="91"/>
      <c r="AP148" s="5"/>
      <c r="AQ148" s="96"/>
      <c r="AR148" s="5"/>
      <c r="AS148" s="30"/>
      <c r="AT148" s="31"/>
      <c r="AU148" s="32"/>
      <c r="BK148" s="5"/>
    </row>
    <row r="149" spans="1:63" thickTop="1" thickBot="1" x14ac:dyDescent="0.3">
      <c r="A149" s="15">
        <v>125</v>
      </c>
      <c r="B149" s="16">
        <v>13</v>
      </c>
      <c r="C149" s="16">
        <v>5</v>
      </c>
      <c r="D149" s="17"/>
      <c r="E149" s="1">
        <v>63</v>
      </c>
      <c r="F149" s="1">
        <v>-60</v>
      </c>
      <c r="G149" s="18">
        <f t="shared" si="34"/>
        <v>123</v>
      </c>
      <c r="H149" s="17"/>
      <c r="I149" s="16">
        <v>61</v>
      </c>
      <c r="J149" s="3">
        <f t="shared" si="41"/>
        <v>154.71036585365852</v>
      </c>
      <c r="K149" s="20">
        <f t="shared" si="35"/>
        <v>174</v>
      </c>
      <c r="L149" s="17"/>
      <c r="N149" s="17"/>
      <c r="O149" s="8">
        <v>0.13300000000000001</v>
      </c>
      <c r="P149" s="9">
        <v>0.45900000000000002</v>
      </c>
      <c r="Q149" s="17"/>
      <c r="R149" s="76">
        <v>0</v>
      </c>
      <c r="S149" s="76">
        <v>90</v>
      </c>
      <c r="T149" s="76">
        <v>2500</v>
      </c>
      <c r="U149" s="17"/>
      <c r="V149" s="7">
        <v>0</v>
      </c>
      <c r="W149" s="74" t="e">
        <f t="shared" si="42"/>
        <v>#DIV/0!</v>
      </c>
      <c r="Y149" s="56">
        <v>5571</v>
      </c>
      <c r="Z149" s="13">
        <f t="shared" si="36"/>
        <v>0.14205457045535505</v>
      </c>
      <c r="AB149" s="72">
        <v>80</v>
      </c>
      <c r="AC149" t="s">
        <v>56</v>
      </c>
      <c r="AE149" s="8">
        <f>(O149*AB149+O150*AB150+O151*AB151)/100</f>
        <v>0.12380000000000001</v>
      </c>
      <c r="AF149" s="3">
        <f>225-5.625*($B149-0.5)</f>
        <v>154.6875</v>
      </c>
      <c r="AG149">
        <f>K149</f>
        <v>174</v>
      </c>
      <c r="AI149" s="2">
        <v>1500</v>
      </c>
      <c r="AJ149" s="7">
        <f t="shared" si="37"/>
        <v>0</v>
      </c>
      <c r="AK149" s="8">
        <f t="shared" si="38"/>
        <v>0.13300000000000001</v>
      </c>
      <c r="AL149" s="56">
        <f t="shared" si="39"/>
        <v>0.13499999999999998</v>
      </c>
      <c r="AM149" s="9">
        <f t="shared" si="40"/>
        <v>0.32400000000000007</v>
      </c>
      <c r="AO149" s="90">
        <f>($AB149*AK149+$AB150*AK150+$AB151*AK151)/100</f>
        <v>0.11554000000000002</v>
      </c>
      <c r="AQ149" s="95">
        <f>($AB149*AM149+$AB150*AM150+$AB151*AM151)/100</f>
        <v>0.26187000000000005</v>
      </c>
      <c r="AS149" s="10">
        <f>($AB149*R149+$AB150*R150+$AB151*R151)/100</f>
        <v>11.8</v>
      </c>
      <c r="AT149" s="11">
        <f>($AB149*S149+$AB150*S150+$AB151*S151)/100</f>
        <v>74.900000000000006</v>
      </c>
      <c r="AU149" s="12">
        <f>($AB149*T149+$AB150*T150+$AB151*T151)/100</f>
        <v>2165</v>
      </c>
    </row>
    <row r="150" spans="1:63" thickTop="1" thickBot="1" x14ac:dyDescent="0.3">
      <c r="A150" s="4">
        <v>125</v>
      </c>
      <c r="B150" s="93">
        <v>13</v>
      </c>
      <c r="C150" s="93">
        <v>5</v>
      </c>
      <c r="E150" s="1">
        <v>63</v>
      </c>
      <c r="F150" s="1">
        <v>-60</v>
      </c>
      <c r="G150" s="3">
        <f t="shared" si="34"/>
        <v>123</v>
      </c>
      <c r="I150" s="14">
        <v>10</v>
      </c>
      <c r="J150" s="3">
        <f t="shared" si="41"/>
        <v>157.04268292682926</v>
      </c>
      <c r="K150" s="6">
        <f t="shared" si="35"/>
        <v>174</v>
      </c>
      <c r="O150" s="8">
        <v>0.10100000000000001</v>
      </c>
      <c r="P150" s="9">
        <v>3.1E-2</v>
      </c>
      <c r="R150" s="10">
        <v>63</v>
      </c>
      <c r="S150" s="11">
        <v>15</v>
      </c>
      <c r="T150" s="12">
        <v>900</v>
      </c>
      <c r="V150" s="7">
        <v>417</v>
      </c>
      <c r="W150" s="74">
        <f t="shared" si="42"/>
        <v>14.965988619123092</v>
      </c>
      <c r="Y150" s="56">
        <v>395</v>
      </c>
      <c r="Z150" s="13">
        <f t="shared" si="36"/>
        <v>0.15010544816768062</v>
      </c>
      <c r="AB150">
        <v>10</v>
      </c>
      <c r="AI150" s="2">
        <v>700</v>
      </c>
      <c r="AJ150" s="7">
        <f t="shared" si="37"/>
        <v>4.41E-2</v>
      </c>
      <c r="AK150" s="8">
        <f t="shared" si="38"/>
        <v>5.6900000000000006E-2</v>
      </c>
      <c r="AL150" s="56">
        <f t="shared" si="39"/>
        <v>1.0499999999999999E-2</v>
      </c>
      <c r="AM150" s="9">
        <f t="shared" si="40"/>
        <v>2.0500000000000001E-2</v>
      </c>
    </row>
    <row r="151" spans="1:63" s="27" customFormat="1" thickTop="1" thickBot="1" x14ac:dyDescent="0.3">
      <c r="A151" s="21">
        <v>125</v>
      </c>
      <c r="B151" s="22">
        <v>13</v>
      </c>
      <c r="C151" s="22">
        <v>5</v>
      </c>
      <c r="D151" s="23"/>
      <c r="E151" s="24">
        <v>63</v>
      </c>
      <c r="F151" s="24">
        <v>-60</v>
      </c>
      <c r="G151" s="25">
        <f t="shared" si="34"/>
        <v>123</v>
      </c>
      <c r="H151" s="23"/>
      <c r="I151" s="22">
        <v>111</v>
      </c>
      <c r="J151" s="3">
        <f t="shared" si="41"/>
        <v>152.42378048780489</v>
      </c>
      <c r="K151" s="26">
        <f t="shared" si="35"/>
        <v>174</v>
      </c>
      <c r="L151" s="23"/>
      <c r="N151" s="23"/>
      <c r="O151" s="28">
        <v>7.2999999999999995E-2</v>
      </c>
      <c r="P151" s="29">
        <v>1.6E-2</v>
      </c>
      <c r="Q151" s="23"/>
      <c r="R151" s="30">
        <v>55</v>
      </c>
      <c r="S151" s="31">
        <v>14</v>
      </c>
      <c r="T151" s="32">
        <v>750</v>
      </c>
      <c r="U151" s="23"/>
      <c r="V151" s="33">
        <v>314</v>
      </c>
      <c r="W151" s="34">
        <f t="shared" si="42"/>
        <v>15.226527304607634</v>
      </c>
      <c r="X151" s="5"/>
      <c r="Y151" s="55">
        <v>217</v>
      </c>
      <c r="Z151" s="34">
        <f t="shared" si="36"/>
        <v>0.15687031245865352</v>
      </c>
      <c r="AB151" s="27">
        <v>10</v>
      </c>
      <c r="AD151" s="5"/>
      <c r="AE151" s="28"/>
      <c r="AF151" s="3"/>
      <c r="AH151" s="5"/>
      <c r="AI151" s="2">
        <v>700</v>
      </c>
      <c r="AJ151" s="7">
        <f t="shared" si="37"/>
        <v>3.85E-2</v>
      </c>
      <c r="AK151" s="8">
        <f t="shared" si="38"/>
        <v>3.4499999999999996E-2</v>
      </c>
      <c r="AL151" s="56">
        <f t="shared" si="39"/>
        <v>9.7999999999999997E-3</v>
      </c>
      <c r="AM151" s="9">
        <f t="shared" si="40"/>
        <v>6.2000000000000006E-3</v>
      </c>
      <c r="AN151" s="5"/>
      <c r="AO151" s="91"/>
      <c r="AP151" s="5"/>
      <c r="AQ151" s="96"/>
      <c r="AR151" s="5"/>
      <c r="AS151" s="30"/>
      <c r="AT151" s="31"/>
      <c r="AU151" s="32"/>
      <c r="BK151" s="5"/>
    </row>
    <row r="152" spans="1:63" thickTop="1" thickBot="1" x14ac:dyDescent="0.3">
      <c r="A152" s="15">
        <v>306</v>
      </c>
      <c r="B152" s="16">
        <v>29</v>
      </c>
      <c r="C152" s="16">
        <v>6</v>
      </c>
      <c r="D152" s="17"/>
      <c r="E152" s="1">
        <v>64</v>
      </c>
      <c r="F152" s="1">
        <v>-59</v>
      </c>
      <c r="G152" s="18">
        <f t="shared" ref="G152:G169" si="43">E152-F152</f>
        <v>123</v>
      </c>
      <c r="H152" s="17"/>
      <c r="I152" s="16">
        <v>61</v>
      </c>
      <c r="J152" s="3">
        <f t="shared" si="41"/>
        <v>64.710365853658544</v>
      </c>
      <c r="K152" s="20">
        <f t="shared" ref="K152:K169" si="44">120+12*(C152-0.5)</f>
        <v>186</v>
      </c>
      <c r="L152" s="17"/>
      <c r="N152" s="17"/>
      <c r="O152" s="8">
        <v>0.188</v>
      </c>
      <c r="P152" s="9">
        <v>5.1999999999999998E-2</v>
      </c>
      <c r="Q152" s="17"/>
      <c r="R152" s="10">
        <v>98</v>
      </c>
      <c r="S152" s="11">
        <v>29</v>
      </c>
      <c r="T152" s="12">
        <v>1400</v>
      </c>
      <c r="U152" s="17"/>
      <c r="V152" s="7">
        <v>420</v>
      </c>
      <c r="W152" s="74">
        <f t="shared" si="42"/>
        <v>14.960264830861913</v>
      </c>
      <c r="Y152" s="56">
        <v>371</v>
      </c>
      <c r="Z152" s="13">
        <f t="shared" ref="Z152:Z169" si="45">SQRT(0.1^2+0.1^2+1/Y152)</f>
        <v>0.15064998436693386</v>
      </c>
      <c r="AB152" s="72">
        <v>80</v>
      </c>
      <c r="AE152" s="8">
        <f>(O152*AB152+O153*AB153+O154*AB154)/100</f>
        <v>0.19539999999999999</v>
      </c>
      <c r="AF152" s="3">
        <f>225-5.625*($B152-0.5)</f>
        <v>64.6875</v>
      </c>
      <c r="AG152">
        <f>K152</f>
        <v>186</v>
      </c>
      <c r="AI152" s="2">
        <v>800</v>
      </c>
      <c r="AJ152" s="7">
        <f t="shared" ref="AJ152:AJ169" si="46">AI152*R152*0.000001</f>
        <v>7.8399999999999997E-2</v>
      </c>
      <c r="AK152" s="8">
        <f t="shared" ref="AK152:AK169" si="47">O152-AJ152</f>
        <v>0.1096</v>
      </c>
      <c r="AL152" s="56">
        <f t="shared" ref="AL152:AL169" si="48">S152*AI152*0.000001</f>
        <v>2.3199999999999998E-2</v>
      </c>
      <c r="AM152" s="9">
        <f t="shared" ref="AM152:AM169" si="49">P152-AL152</f>
        <v>2.8799999999999999E-2</v>
      </c>
      <c r="AO152" s="90">
        <f>($AB152*AK152+$AB153*AK153+$AB154*AK154)/100</f>
        <v>0.11307</v>
      </c>
      <c r="AQ152" s="95">
        <f>($AB152*AM152+$AB153*AM153+$AB154*AM154)/100</f>
        <v>3.1959999999999995E-2</v>
      </c>
      <c r="AS152" s="10">
        <f>($AB152*R152+$AB153*R153+$AB154*R154)/100</f>
        <v>103.1</v>
      </c>
      <c r="AT152" s="11">
        <f>($AB152*S152+$AB153*S153+$AB154*S154)/100</f>
        <v>28.6</v>
      </c>
      <c r="AU152" s="12">
        <f>($AB152*T152+$AB153*T153+$AB154*T154)/100</f>
        <v>1345</v>
      </c>
    </row>
    <row r="153" spans="1:63" thickTop="1" thickBot="1" x14ac:dyDescent="0.3">
      <c r="A153" s="4">
        <v>306</v>
      </c>
      <c r="B153" s="93">
        <v>29</v>
      </c>
      <c r="C153" s="93">
        <v>6</v>
      </c>
      <c r="E153" s="1">
        <v>64</v>
      </c>
      <c r="F153" s="1">
        <v>-59</v>
      </c>
      <c r="G153" s="3">
        <f t="shared" si="43"/>
        <v>123</v>
      </c>
      <c r="I153" s="14">
        <v>10</v>
      </c>
      <c r="J153" s="3">
        <f t="shared" si="41"/>
        <v>67.042682926829258</v>
      </c>
      <c r="K153" s="6">
        <f t="shared" si="44"/>
        <v>186</v>
      </c>
      <c r="O153" s="8">
        <v>0.221</v>
      </c>
      <c r="P153" s="9">
        <v>4.8000000000000001E-2</v>
      </c>
      <c r="R153" s="10">
        <v>131</v>
      </c>
      <c r="S153" s="11">
        <v>14</v>
      </c>
      <c r="T153" s="12">
        <v>1200</v>
      </c>
      <c r="V153" s="7">
        <v>498</v>
      </c>
      <c r="W153" s="74">
        <f t="shared" si="42"/>
        <v>14.835104357069437</v>
      </c>
      <c r="Y153" s="56">
        <v>300</v>
      </c>
      <c r="Z153" s="13">
        <f t="shared" si="45"/>
        <v>0.15275252316519469</v>
      </c>
      <c r="AB153">
        <v>10</v>
      </c>
      <c r="AI153" s="2">
        <v>700</v>
      </c>
      <c r="AJ153" s="7">
        <f t="shared" si="46"/>
        <v>9.169999999999999E-2</v>
      </c>
      <c r="AK153" s="8">
        <f t="shared" si="47"/>
        <v>0.12930000000000003</v>
      </c>
      <c r="AL153" s="56">
        <f t="shared" si="48"/>
        <v>9.7999999999999997E-3</v>
      </c>
      <c r="AM153" s="9">
        <f t="shared" si="49"/>
        <v>3.8199999999999998E-2</v>
      </c>
    </row>
    <row r="154" spans="1:63" s="27" customFormat="1" thickTop="1" thickBot="1" x14ac:dyDescent="0.3">
      <c r="A154" s="21">
        <v>306</v>
      </c>
      <c r="B154" s="22">
        <v>29</v>
      </c>
      <c r="C154" s="22">
        <v>6</v>
      </c>
      <c r="D154" s="23"/>
      <c r="E154" s="24">
        <v>64</v>
      </c>
      <c r="F154" s="24">
        <v>-59</v>
      </c>
      <c r="G154" s="25">
        <f t="shared" si="43"/>
        <v>123</v>
      </c>
      <c r="H154" s="23"/>
      <c r="I154" s="22">
        <v>113</v>
      </c>
      <c r="J154" s="3">
        <f t="shared" si="41"/>
        <v>62.332317073170742</v>
      </c>
      <c r="K154" s="26">
        <f t="shared" si="44"/>
        <v>186</v>
      </c>
      <c r="L154" s="23"/>
      <c r="N154" s="23"/>
      <c r="O154" s="28">
        <v>0.22900000000000001</v>
      </c>
      <c r="P154" s="24">
        <v>8.6999999999999994E-2</v>
      </c>
      <c r="Q154" s="23"/>
      <c r="R154" s="30">
        <v>116</v>
      </c>
      <c r="S154" s="31">
        <v>40</v>
      </c>
      <c r="T154" s="32">
        <v>1050</v>
      </c>
      <c r="U154" s="23"/>
      <c r="V154" s="33">
        <v>572</v>
      </c>
      <c r="W154" s="34">
        <f t="shared" si="42"/>
        <v>14.74728847898886</v>
      </c>
      <c r="X154" s="5"/>
      <c r="Y154" s="55">
        <v>614</v>
      </c>
      <c r="Z154" s="34">
        <f t="shared" si="45"/>
        <v>0.14706687082791287</v>
      </c>
      <c r="AB154" s="27">
        <v>10</v>
      </c>
      <c r="AD154" s="5"/>
      <c r="AE154" s="28"/>
      <c r="AF154" s="3"/>
      <c r="AH154" s="5"/>
      <c r="AI154" s="2">
        <v>900</v>
      </c>
      <c r="AJ154" s="7">
        <f t="shared" si="46"/>
        <v>0.10439999999999999</v>
      </c>
      <c r="AK154" s="8">
        <f t="shared" si="47"/>
        <v>0.12460000000000002</v>
      </c>
      <c r="AL154" s="56">
        <f t="shared" si="48"/>
        <v>3.5999999999999997E-2</v>
      </c>
      <c r="AM154" s="9">
        <f t="shared" si="49"/>
        <v>5.0999999999999997E-2</v>
      </c>
      <c r="AN154" s="5"/>
      <c r="AO154" s="91"/>
      <c r="AP154" s="5"/>
      <c r="AQ154" s="96"/>
      <c r="AR154" s="5"/>
      <c r="AS154" s="30"/>
      <c r="AT154" s="31"/>
      <c r="AU154" s="32"/>
      <c r="BK154" s="5"/>
    </row>
    <row r="155" spans="1:63" thickTop="1" thickBot="1" x14ac:dyDescent="0.3">
      <c r="A155" s="15">
        <v>326</v>
      </c>
      <c r="B155" s="16">
        <v>35</v>
      </c>
      <c r="C155" s="16">
        <v>6</v>
      </c>
      <c r="D155" s="17"/>
      <c r="E155" s="1">
        <v>60</v>
      </c>
      <c r="F155" s="1">
        <v>-60</v>
      </c>
      <c r="G155" s="18">
        <f t="shared" si="43"/>
        <v>120</v>
      </c>
      <c r="H155" s="17"/>
      <c r="I155" s="16">
        <v>60</v>
      </c>
      <c r="J155" s="3">
        <f t="shared" ref="J155:J169" si="50">225-5.625*(B155-0.5+(I155-0.5*G155)/G155)</f>
        <v>30.9375</v>
      </c>
      <c r="K155" s="20">
        <f t="shared" si="44"/>
        <v>186</v>
      </c>
      <c r="L155" s="17"/>
      <c r="M155" s="13" t="s">
        <v>101</v>
      </c>
      <c r="N155" s="17"/>
      <c r="O155" s="8">
        <v>0.23100000000000001</v>
      </c>
      <c r="P155" s="9">
        <v>9.2999999999999999E-2</v>
      </c>
      <c r="Q155" s="17"/>
      <c r="R155" s="10">
        <v>236</v>
      </c>
      <c r="S155" s="11">
        <v>64</v>
      </c>
      <c r="T155" s="12">
        <v>1500</v>
      </c>
      <c r="U155" s="17"/>
      <c r="V155" s="7">
        <v>354</v>
      </c>
      <c r="W155" s="74">
        <f t="shared" ref="W155:W169" si="51">SQRT(0.1^2+0.1^2+1/V155)*100</f>
        <v>15.10789818507596</v>
      </c>
      <c r="Y155" s="56">
        <v>380</v>
      </c>
      <c r="Z155" s="13">
        <f t="shared" si="45"/>
        <v>0.15043795713638372</v>
      </c>
      <c r="AB155" s="72">
        <v>70</v>
      </c>
      <c r="AC155" s="13" t="s">
        <v>71</v>
      </c>
    </row>
    <row r="156" spans="1:63" thickTop="1" thickBot="1" x14ac:dyDescent="0.3">
      <c r="A156" s="4">
        <v>326</v>
      </c>
      <c r="B156" s="93">
        <v>35</v>
      </c>
      <c r="C156" s="93">
        <v>6</v>
      </c>
      <c r="E156" s="1">
        <v>60</v>
      </c>
      <c r="F156" s="1">
        <v>-60</v>
      </c>
      <c r="G156" s="3">
        <f t="shared" si="43"/>
        <v>120</v>
      </c>
      <c r="I156" s="14">
        <v>10</v>
      </c>
      <c r="J156" s="3">
        <f t="shared" si="50"/>
        <v>33.28125</v>
      </c>
      <c r="K156" s="6">
        <f t="shared" si="44"/>
        <v>186</v>
      </c>
      <c r="M156" s="13" t="s">
        <v>102</v>
      </c>
      <c r="O156" s="8">
        <v>0.25</v>
      </c>
      <c r="P156" s="9">
        <v>3.4000000000000002E-2</v>
      </c>
      <c r="R156" s="10">
        <v>271</v>
      </c>
      <c r="S156" s="11">
        <v>47</v>
      </c>
      <c r="T156" s="12">
        <v>1500</v>
      </c>
      <c r="V156" s="7">
        <v>395</v>
      </c>
      <c r="W156" s="74">
        <f t="shared" si="51"/>
        <v>15.010544816768062</v>
      </c>
      <c r="Y156" s="56">
        <v>0</v>
      </c>
      <c r="Z156" s="13" t="e">
        <f t="shared" si="45"/>
        <v>#DIV/0!</v>
      </c>
      <c r="AB156">
        <v>10</v>
      </c>
      <c r="AC156" s="13" t="s">
        <v>72</v>
      </c>
    </row>
    <row r="157" spans="1:63" s="27" customFormat="1" thickTop="1" thickBot="1" x14ac:dyDescent="0.3">
      <c r="A157" s="21">
        <v>326</v>
      </c>
      <c r="B157" s="22">
        <v>35</v>
      </c>
      <c r="C157" s="22">
        <v>6</v>
      </c>
      <c r="D157" s="23"/>
      <c r="E157" s="24">
        <v>60</v>
      </c>
      <c r="F157" s="24">
        <v>-60</v>
      </c>
      <c r="G157" s="25">
        <f t="shared" si="43"/>
        <v>120</v>
      </c>
      <c r="H157" s="23"/>
      <c r="I157" s="22">
        <v>110</v>
      </c>
      <c r="J157" s="3">
        <f t="shared" si="50"/>
        <v>28.59375</v>
      </c>
      <c r="K157" s="26">
        <f t="shared" si="44"/>
        <v>186</v>
      </c>
      <c r="L157" s="23"/>
      <c r="M157" s="34"/>
      <c r="N157" s="23"/>
      <c r="O157" s="28">
        <v>0.126</v>
      </c>
      <c r="P157" s="29">
        <v>0.04</v>
      </c>
      <c r="Q157" s="23"/>
      <c r="R157" s="30">
        <v>212</v>
      </c>
      <c r="S157" s="31">
        <v>35</v>
      </c>
      <c r="T157" s="32">
        <v>2000</v>
      </c>
      <c r="U157" s="23"/>
      <c r="V157" s="33">
        <v>0</v>
      </c>
      <c r="W157" s="34" t="e">
        <f t="shared" si="51"/>
        <v>#DIV/0!</v>
      </c>
      <c r="X157" s="5"/>
      <c r="Y157" s="55">
        <v>161</v>
      </c>
      <c r="Z157" s="34">
        <f t="shared" si="45"/>
        <v>0.16189867239796504</v>
      </c>
      <c r="AB157" s="27">
        <v>20</v>
      </c>
      <c r="AC157" s="34" t="s">
        <v>99</v>
      </c>
      <c r="AD157" s="5"/>
      <c r="AE157" s="28"/>
      <c r="AF157" s="3"/>
      <c r="AH157" s="5"/>
      <c r="AI157" s="2"/>
      <c r="AJ157" s="7"/>
      <c r="AK157" s="8"/>
      <c r="AL157" s="56"/>
      <c r="AM157" s="9"/>
      <c r="AN157" s="5"/>
      <c r="AO157" s="91"/>
      <c r="AP157" s="5"/>
      <c r="AQ157" s="96"/>
      <c r="AR157" s="5"/>
      <c r="AS157" s="30"/>
      <c r="AT157" s="31"/>
      <c r="AU157" s="32"/>
      <c r="BK157" s="5"/>
    </row>
    <row r="158" spans="1:63" s="105" customFormat="1" thickTop="1" thickBot="1" x14ac:dyDescent="0.3">
      <c r="A158" s="4" t="s">
        <v>98</v>
      </c>
      <c r="B158" s="2">
        <v>35</v>
      </c>
      <c r="C158" s="2">
        <v>6</v>
      </c>
      <c r="D158" s="103"/>
      <c r="E158" s="104">
        <v>60</v>
      </c>
      <c r="F158" s="104">
        <v>-60</v>
      </c>
      <c r="G158" s="3">
        <f t="shared" si="43"/>
        <v>120</v>
      </c>
      <c r="H158" s="103"/>
      <c r="I158" s="2">
        <v>60</v>
      </c>
      <c r="J158" s="3">
        <f t="shared" si="50"/>
        <v>30.9375</v>
      </c>
      <c r="K158" s="6">
        <f t="shared" si="44"/>
        <v>186</v>
      </c>
      <c r="L158" s="5"/>
      <c r="M158" s="81" t="s">
        <v>103</v>
      </c>
      <c r="N158" s="5"/>
      <c r="O158" s="106">
        <v>0.122</v>
      </c>
      <c r="P158" s="107">
        <v>4.9000000000000002E-2</v>
      </c>
      <c r="Q158" s="103"/>
      <c r="R158" s="108">
        <v>120</v>
      </c>
      <c r="S158" s="109">
        <v>33</v>
      </c>
      <c r="T158" s="110">
        <v>800</v>
      </c>
      <c r="U158" s="103"/>
      <c r="V158" s="7">
        <v>354</v>
      </c>
      <c r="W158" s="74">
        <f t="shared" si="51"/>
        <v>15.10789818507596</v>
      </c>
      <c r="X158" s="5"/>
      <c r="Y158" s="56">
        <v>380</v>
      </c>
      <c r="Z158" s="13">
        <f t="shared" si="45"/>
        <v>0.15043795713638372</v>
      </c>
      <c r="AB158" s="72">
        <v>70</v>
      </c>
      <c r="AC158" s="81">
        <f>(O155/O158+P155/P158+R155/R158+S155/S158+T155/T158)/5</f>
        <v>1.9144924825369791</v>
      </c>
      <c r="AD158" s="5"/>
      <c r="AE158" s="8">
        <f>(O158*AB158+O159*AB159+O160*AB160)/100</f>
        <v>0.11119999999999999</v>
      </c>
      <c r="AF158" s="3">
        <f>225-5.625*($B158-0.5)</f>
        <v>30.9375</v>
      </c>
      <c r="AG158">
        <f>K158</f>
        <v>186</v>
      </c>
      <c r="AH158" s="5"/>
      <c r="AI158" s="2">
        <v>600</v>
      </c>
      <c r="AJ158" s="7">
        <f>AI158*R158*0.000001</f>
        <v>7.1999999999999995E-2</v>
      </c>
      <c r="AK158" s="8">
        <f>O158-AJ158</f>
        <v>0.05</v>
      </c>
      <c r="AL158" s="56">
        <f>S158*AI158*0.000001</f>
        <v>1.9799999999999998E-2</v>
      </c>
      <c r="AM158" s="9">
        <f>P158-AL158</f>
        <v>2.9200000000000004E-2</v>
      </c>
      <c r="AN158" s="5"/>
      <c r="AO158" s="90">
        <f>($AB158*AK158+$AB159*AK159+$AB160*AK160)/100</f>
        <v>3.7139999999999999E-2</v>
      </c>
      <c r="AP158" s="5"/>
      <c r="AQ158" s="95">
        <f>($AB158*AM158+$AB159*AM159+$AB160*AM160)/100</f>
        <v>2.1890000000000007E-2</v>
      </c>
      <c r="AR158" s="5"/>
      <c r="AS158" s="10">
        <f>($AB158*R158+$AB159*R159+$AB160*R160)/100</f>
        <v>117.8</v>
      </c>
      <c r="AT158" s="11">
        <f>($AB158*S158+$AB159*S159+$AB160*S160)/100</f>
        <v>29.6</v>
      </c>
      <c r="AU158" s="12">
        <f>($AB158*T158+$AB159*T159+$AB160*T160)/100</f>
        <v>860</v>
      </c>
      <c r="BK158" s="5"/>
    </row>
    <row r="159" spans="1:63" s="105" customFormat="1" thickTop="1" thickBot="1" x14ac:dyDescent="0.3">
      <c r="A159" s="4" t="s">
        <v>98</v>
      </c>
      <c r="B159" s="93">
        <v>35</v>
      </c>
      <c r="C159" s="93">
        <v>6</v>
      </c>
      <c r="D159" s="103"/>
      <c r="E159" s="104">
        <v>60</v>
      </c>
      <c r="F159" s="104">
        <v>-60</v>
      </c>
      <c r="G159" s="3">
        <f t="shared" si="43"/>
        <v>120</v>
      </c>
      <c r="H159" s="103"/>
      <c r="I159" s="14">
        <v>10</v>
      </c>
      <c r="J159" s="3">
        <f t="shared" si="50"/>
        <v>33.28125</v>
      </c>
      <c r="K159" s="6">
        <f t="shared" si="44"/>
        <v>186</v>
      </c>
      <c r="L159" s="5"/>
      <c r="M159" s="81" t="s">
        <v>104</v>
      </c>
      <c r="N159" s="5"/>
      <c r="O159" s="106">
        <v>0.13</v>
      </c>
      <c r="P159" s="107">
        <v>1.7999999999999999E-2</v>
      </c>
      <c r="Q159" s="103"/>
      <c r="R159" s="108">
        <v>136</v>
      </c>
      <c r="S159" s="109">
        <v>23</v>
      </c>
      <c r="T159" s="110">
        <v>800</v>
      </c>
      <c r="U159" s="103"/>
      <c r="V159" s="7">
        <v>395</v>
      </c>
      <c r="W159" s="74">
        <f t="shared" si="51"/>
        <v>15.010544816768062</v>
      </c>
      <c r="X159" s="5"/>
      <c r="Y159" s="56">
        <v>0</v>
      </c>
      <c r="Z159" s="13" t="e">
        <f t="shared" si="45"/>
        <v>#DIV/0!</v>
      </c>
      <c r="AB159">
        <v>10</v>
      </c>
      <c r="AC159" s="81">
        <f>(O156/O159+P156/P159+R156/R159+S156/S159+T156/T159)/5</f>
        <v>1.9446182263317815</v>
      </c>
      <c r="AD159" s="5"/>
      <c r="AE159" s="8"/>
      <c r="AF159" s="3"/>
      <c r="AG159"/>
      <c r="AH159" s="5"/>
      <c r="AI159" s="2">
        <v>700</v>
      </c>
      <c r="AJ159" s="7">
        <f>AI159*R159*0.000001</f>
        <v>9.5199999999999993E-2</v>
      </c>
      <c r="AK159" s="8">
        <f>O159-AJ159</f>
        <v>3.4800000000000011E-2</v>
      </c>
      <c r="AL159" s="56">
        <f>S159*AI159*0.000001</f>
        <v>1.61E-2</v>
      </c>
      <c r="AM159" s="9">
        <f>P159-AL159</f>
        <v>1.8999999999999989E-3</v>
      </c>
      <c r="AN159" s="5"/>
      <c r="AO159" s="90"/>
      <c r="AP159" s="5"/>
      <c r="AQ159" s="95"/>
      <c r="AR159" s="5"/>
      <c r="AS159" s="10"/>
      <c r="AT159" s="11"/>
      <c r="AU159" s="12"/>
      <c r="BK159" s="5"/>
    </row>
    <row r="160" spans="1:63" s="27" customFormat="1" thickTop="1" thickBot="1" x14ac:dyDescent="0.3">
      <c r="A160" s="21" t="s">
        <v>98</v>
      </c>
      <c r="B160" s="22">
        <v>35</v>
      </c>
      <c r="C160" s="22">
        <v>6</v>
      </c>
      <c r="D160" s="111"/>
      <c r="E160" s="24">
        <v>60</v>
      </c>
      <c r="F160" s="24">
        <v>-60</v>
      </c>
      <c r="G160" s="25">
        <f t="shared" si="43"/>
        <v>120</v>
      </c>
      <c r="H160" s="111"/>
      <c r="I160" s="22">
        <v>110</v>
      </c>
      <c r="J160" s="25">
        <f t="shared" si="50"/>
        <v>28.59375</v>
      </c>
      <c r="K160" s="26">
        <f t="shared" si="44"/>
        <v>186</v>
      </c>
      <c r="L160" s="23"/>
      <c r="M160" s="88" t="s">
        <v>105</v>
      </c>
      <c r="N160" s="23"/>
      <c r="O160" s="28">
        <v>6.4000000000000001E-2</v>
      </c>
      <c r="P160" s="29">
        <v>2.1000000000000001E-2</v>
      </c>
      <c r="Q160" s="111"/>
      <c r="R160" s="30">
        <v>101</v>
      </c>
      <c r="S160" s="31">
        <v>21</v>
      </c>
      <c r="T160" s="32">
        <v>1100</v>
      </c>
      <c r="U160" s="111"/>
      <c r="V160" s="33">
        <v>0</v>
      </c>
      <c r="W160" s="34" t="e">
        <f t="shared" si="51"/>
        <v>#DIV/0!</v>
      </c>
      <c r="X160" s="5"/>
      <c r="Y160" s="55">
        <v>161</v>
      </c>
      <c r="Z160" s="34">
        <f t="shared" si="45"/>
        <v>0.16189867239796504</v>
      </c>
      <c r="AB160" s="27">
        <v>20</v>
      </c>
      <c r="AC160" s="88">
        <f>(O157/O160+P157/P160+R157/R160+S157/S160+T157/T160)/5</f>
        <v>1.8914740581200977</v>
      </c>
      <c r="AD160" s="23"/>
      <c r="AE160" s="28"/>
      <c r="AF160" s="3"/>
      <c r="AH160" s="5"/>
      <c r="AI160" s="2">
        <v>700</v>
      </c>
      <c r="AJ160" s="7">
        <f>AI160*R160*0.000001</f>
        <v>7.0699999999999999E-2</v>
      </c>
      <c r="AK160" s="8">
        <f>O160-AJ160</f>
        <v>-6.6999999999999976E-3</v>
      </c>
      <c r="AL160" s="56">
        <f>S160*AI160*0.000001</f>
        <v>1.47E-2</v>
      </c>
      <c r="AM160" s="9">
        <f>P160-AL160</f>
        <v>6.3000000000000018E-3</v>
      </c>
      <c r="AN160" s="5"/>
      <c r="AO160" s="91"/>
      <c r="AP160" s="5"/>
      <c r="AQ160" s="96"/>
      <c r="AR160" s="5"/>
      <c r="AS160" s="30"/>
      <c r="AT160" s="31"/>
      <c r="AU160" s="32"/>
      <c r="BK160" s="23"/>
    </row>
    <row r="161" spans="1:63" thickTop="1" thickBot="1" x14ac:dyDescent="0.3">
      <c r="A161" s="15">
        <v>336</v>
      </c>
      <c r="B161" s="16">
        <v>32</v>
      </c>
      <c r="C161" s="16">
        <v>6</v>
      </c>
      <c r="D161" s="17"/>
      <c r="E161" s="1">
        <v>62</v>
      </c>
      <c r="F161" s="1">
        <v>-60</v>
      </c>
      <c r="G161" s="18">
        <f t="shared" si="43"/>
        <v>122</v>
      </c>
      <c r="H161" s="17"/>
      <c r="I161" s="16">
        <v>61</v>
      </c>
      <c r="J161" s="18">
        <f t="shared" si="50"/>
        <v>47.8125</v>
      </c>
      <c r="K161" s="20">
        <f t="shared" si="44"/>
        <v>186</v>
      </c>
      <c r="L161" s="17"/>
      <c r="M161" s="80" t="s">
        <v>106</v>
      </c>
      <c r="N161" s="17"/>
      <c r="O161" s="112">
        <f>0.309/1.9</f>
        <v>0.16263157894736843</v>
      </c>
      <c r="P161" s="113">
        <f>0.078/1.9</f>
        <v>4.1052631578947368E-2</v>
      </c>
      <c r="Q161" s="17"/>
      <c r="R161" s="116">
        <f>265/1.9</f>
        <v>139.47368421052633</v>
      </c>
      <c r="S161" s="117">
        <f>62/1.9</f>
        <v>32.631578947368425</v>
      </c>
      <c r="T161" s="118">
        <f>1200/1.9</f>
        <v>631.57894736842104</v>
      </c>
      <c r="U161" s="17"/>
      <c r="V161" s="7">
        <v>0</v>
      </c>
      <c r="W161" s="74" t="e">
        <f t="shared" si="51"/>
        <v>#DIV/0!</v>
      </c>
      <c r="Y161" s="56">
        <v>408</v>
      </c>
      <c r="Z161" s="13">
        <f t="shared" si="45"/>
        <v>0.14983651221300123</v>
      </c>
      <c r="AB161" s="72">
        <v>80</v>
      </c>
      <c r="AC161" s="80" t="s">
        <v>100</v>
      </c>
      <c r="AD161" s="17"/>
      <c r="AE161" s="8">
        <f>(O161*AB161+O162*AB162+O163*AB163)/100</f>
        <v>0.16178947368421054</v>
      </c>
      <c r="AF161" s="18">
        <f>225-5.625*($B161-0.5)</f>
        <v>47.8125</v>
      </c>
      <c r="AG161">
        <f>K161</f>
        <v>186</v>
      </c>
      <c r="AH161" s="17"/>
      <c r="AI161" s="16">
        <v>1000</v>
      </c>
      <c r="AJ161" s="7">
        <f t="shared" si="46"/>
        <v>0.13947368421052631</v>
      </c>
      <c r="AK161" s="8">
        <f t="shared" si="47"/>
        <v>2.3157894736842127E-2</v>
      </c>
      <c r="AL161" s="56">
        <f t="shared" si="48"/>
        <v>3.2631578947368421E-2</v>
      </c>
      <c r="AM161" s="9">
        <f t="shared" si="49"/>
        <v>8.4210526315789472E-3</v>
      </c>
      <c r="AN161" s="17"/>
      <c r="AO161" s="90">
        <f>($AB161*AK161+$AB162*AK162+$AB163*AK163)/100</f>
        <v>2.9210526315789492E-2</v>
      </c>
      <c r="AP161" s="17"/>
      <c r="AQ161" s="95">
        <f>($AB161*AM161+$AB162*AM162+$AB163*AM163)/100</f>
        <v>9.5789473684210532E-3</v>
      </c>
      <c r="AR161" s="17"/>
      <c r="AS161" s="10">
        <f>($AB161*R161+$AB162*R162+$AB163*R163)/100</f>
        <v>132.57894736842107</v>
      </c>
      <c r="AT161" s="11">
        <f>($AB161*S161+$AB162*S162+$AB163*S163)/100</f>
        <v>30.789473684210535</v>
      </c>
      <c r="AU161" s="12">
        <f>($AB161*T161+$AB162*T162+$AB163*T163)/100</f>
        <v>642.10526315789468</v>
      </c>
      <c r="BK161" s="17"/>
    </row>
    <row r="162" spans="1:63" thickTop="1" thickBot="1" x14ac:dyDescent="0.3">
      <c r="A162" s="4">
        <v>336</v>
      </c>
      <c r="B162" s="93">
        <v>32</v>
      </c>
      <c r="C162" s="93">
        <v>6</v>
      </c>
      <c r="E162" s="1">
        <v>62</v>
      </c>
      <c r="F162" s="1">
        <v>-60</v>
      </c>
      <c r="G162" s="3">
        <f t="shared" si="43"/>
        <v>122</v>
      </c>
      <c r="I162" s="14">
        <v>10</v>
      </c>
      <c r="J162" s="3">
        <f t="shared" si="50"/>
        <v>50.163934426229503</v>
      </c>
      <c r="K162" s="6">
        <f t="shared" si="44"/>
        <v>186</v>
      </c>
      <c r="M162" s="80" t="s">
        <v>106</v>
      </c>
      <c r="O162" s="112">
        <f>0.351/1.9</f>
        <v>0.18473684210526314</v>
      </c>
      <c r="P162" s="113">
        <f>0.085/1.9</f>
        <v>4.4736842105263165E-2</v>
      </c>
      <c r="R162" s="116">
        <f>235/1.9</f>
        <v>123.68421052631579</v>
      </c>
      <c r="S162" s="117">
        <f>51/1.9</f>
        <v>26.842105263157897</v>
      </c>
      <c r="T162" s="118">
        <f>1500/1.9</f>
        <v>789.47368421052636</v>
      </c>
      <c r="V162" s="7">
        <v>619</v>
      </c>
      <c r="W162" s="74">
        <f t="shared" si="51"/>
        <v>14.702213739875663</v>
      </c>
      <c r="Y162" s="56">
        <v>447</v>
      </c>
      <c r="Z162" s="13">
        <f t="shared" si="45"/>
        <v>0.14912121400164494</v>
      </c>
      <c r="AB162">
        <v>10</v>
      </c>
      <c r="AC162" s="80" t="s">
        <v>100</v>
      </c>
      <c r="AI162" s="2">
        <v>1000</v>
      </c>
      <c r="AJ162" s="7">
        <f t="shared" si="46"/>
        <v>0.1236842105263158</v>
      </c>
      <c r="AK162" s="8">
        <f t="shared" si="47"/>
        <v>6.1052631578947344E-2</v>
      </c>
      <c r="AL162" s="56">
        <f t="shared" si="48"/>
        <v>2.6842105263157896E-2</v>
      </c>
      <c r="AM162" s="9">
        <f t="shared" si="49"/>
        <v>1.7894736842105269E-2</v>
      </c>
    </row>
    <row r="163" spans="1:63" s="27" customFormat="1" thickTop="1" thickBot="1" x14ac:dyDescent="0.3">
      <c r="A163" s="21">
        <v>336</v>
      </c>
      <c r="B163" s="22">
        <v>32</v>
      </c>
      <c r="C163" s="22">
        <v>6</v>
      </c>
      <c r="D163" s="23"/>
      <c r="E163" s="24">
        <v>62</v>
      </c>
      <c r="F163" s="24">
        <v>-60</v>
      </c>
      <c r="G163" s="25">
        <f t="shared" si="43"/>
        <v>122</v>
      </c>
      <c r="H163" s="23"/>
      <c r="I163" s="22">
        <v>112</v>
      </c>
      <c r="J163" s="3">
        <f t="shared" si="50"/>
        <v>45.461065573770497</v>
      </c>
      <c r="K163" s="26">
        <f t="shared" si="44"/>
        <v>186</v>
      </c>
      <c r="L163" s="23"/>
      <c r="M163" s="122" t="s">
        <v>106</v>
      </c>
      <c r="N163" s="23"/>
      <c r="O163" s="114">
        <f>0.251/1.9</f>
        <v>0.13210526315789475</v>
      </c>
      <c r="P163" s="115">
        <f>0.058/1.9</f>
        <v>3.0526315789473686E-2</v>
      </c>
      <c r="Q163" s="23"/>
      <c r="R163" s="119">
        <f>164/1.9</f>
        <v>86.31578947368422</v>
      </c>
      <c r="S163" s="120">
        <f>38/1.9</f>
        <v>20</v>
      </c>
      <c r="T163" s="121">
        <f>1100/1.9</f>
        <v>578.94736842105272</v>
      </c>
      <c r="U163" s="23"/>
      <c r="V163" s="33">
        <v>584</v>
      </c>
      <c r="W163" s="34">
        <f t="shared" si="51"/>
        <v>14.735103924683834</v>
      </c>
      <c r="X163" s="5"/>
      <c r="Y163" s="55">
        <v>422</v>
      </c>
      <c r="Z163" s="34">
        <f t="shared" si="45"/>
        <v>0.14956492986808606</v>
      </c>
      <c r="AB163" s="27">
        <v>10</v>
      </c>
      <c r="AC163" s="80" t="s">
        <v>100</v>
      </c>
      <c r="AD163" s="5"/>
      <c r="AE163" s="28"/>
      <c r="AF163" s="3"/>
      <c r="AH163" s="5"/>
      <c r="AI163" s="2">
        <v>1000</v>
      </c>
      <c r="AJ163" s="7">
        <f t="shared" si="46"/>
        <v>8.6315789473684207E-2</v>
      </c>
      <c r="AK163" s="8">
        <f t="shared" si="47"/>
        <v>4.5789473684210547E-2</v>
      </c>
      <c r="AL163" s="56">
        <f t="shared" si="48"/>
        <v>0.02</v>
      </c>
      <c r="AM163" s="9">
        <f t="shared" si="49"/>
        <v>1.0526315789473686E-2</v>
      </c>
      <c r="AN163" s="5"/>
      <c r="AO163" s="91"/>
      <c r="AP163" s="5"/>
      <c r="AQ163" s="96"/>
      <c r="AR163" s="5"/>
      <c r="AS163" s="30"/>
      <c r="AT163" s="31"/>
      <c r="AU163" s="32"/>
      <c r="BK163" s="5"/>
    </row>
    <row r="164" spans="1:63" thickTop="1" thickBot="1" x14ac:dyDescent="0.3">
      <c r="A164" s="15">
        <v>376</v>
      </c>
      <c r="B164" s="16">
        <v>38</v>
      </c>
      <c r="C164" s="16">
        <v>6</v>
      </c>
      <c r="D164" s="17"/>
      <c r="E164" s="1">
        <v>64</v>
      </c>
      <c r="F164" s="1">
        <v>-57</v>
      </c>
      <c r="G164" s="18">
        <f t="shared" si="43"/>
        <v>121</v>
      </c>
      <c r="H164" s="17"/>
      <c r="I164" s="16">
        <v>61</v>
      </c>
      <c r="J164" s="3">
        <f t="shared" si="50"/>
        <v>14.03925619834709</v>
      </c>
      <c r="K164" s="20">
        <f t="shared" si="44"/>
        <v>186</v>
      </c>
      <c r="L164" s="17"/>
      <c r="M164" s="80" t="s">
        <v>106</v>
      </c>
      <c r="N164" s="17"/>
      <c r="O164" s="112">
        <f>1.493/1.9</f>
        <v>0.78578947368421059</v>
      </c>
      <c r="P164" s="113">
        <f>0.174/1.9</f>
        <v>9.1578947368421051E-2</v>
      </c>
      <c r="Q164" s="17"/>
      <c r="R164" s="116">
        <f>372/1.9</f>
        <v>195.78947368421055</v>
      </c>
      <c r="S164" s="117">
        <f>78/1.9</f>
        <v>41.05263157894737</v>
      </c>
      <c r="T164" s="118">
        <f>1400/1.9</f>
        <v>736.84210526315792</v>
      </c>
      <c r="U164" s="17"/>
      <c r="V164" s="7">
        <v>189</v>
      </c>
      <c r="W164" s="74">
        <f t="shared" si="51"/>
        <v>15.903146006688518</v>
      </c>
      <c r="Y164" s="56">
        <v>75</v>
      </c>
      <c r="Z164" s="13">
        <f t="shared" si="45"/>
        <v>0.18257418583505539</v>
      </c>
      <c r="AB164" s="72">
        <v>40</v>
      </c>
      <c r="AC164" s="80" t="s">
        <v>65</v>
      </c>
      <c r="AE164" s="8">
        <f>(O164*AB164+O165*AB165+O166*AB166)/100</f>
        <v>0.71189473684210525</v>
      </c>
      <c r="AF164" s="3">
        <f>225-5.625*($B164-0.5)</f>
        <v>14.0625</v>
      </c>
      <c r="AG164">
        <f>K164</f>
        <v>186</v>
      </c>
      <c r="AI164" s="2">
        <v>1000</v>
      </c>
      <c r="AJ164" s="7">
        <f t="shared" si="46"/>
        <v>0.19578947368421054</v>
      </c>
      <c r="AK164" s="8">
        <f t="shared" si="47"/>
        <v>0.59000000000000008</v>
      </c>
      <c r="AL164" s="56">
        <f t="shared" si="48"/>
        <v>4.1052631578947361E-2</v>
      </c>
      <c r="AM164" s="9">
        <f t="shared" si="49"/>
        <v>5.052631578947369E-2</v>
      </c>
      <c r="AO164" s="90">
        <f>($AB164*AK164+$AB165*AK165+$AB166*AK166)/100</f>
        <v>0.55068421052631578</v>
      </c>
      <c r="AQ164" s="95">
        <f>($AB164*AM164+$AB165*AM165+$AB166*AM166)/100</f>
        <v>4.4089473684210533E-2</v>
      </c>
      <c r="AS164" s="10">
        <f>($AB164*R164+$AB165*R165+$AB166*R166)/100</f>
        <v>196.73684210526318</v>
      </c>
      <c r="AT164" s="11">
        <f>($AB164*S164+$AB165*S165+$AB166*S166)/100</f>
        <v>31.105263157894736</v>
      </c>
      <c r="AU164" s="12">
        <f>($AB164*T164+$AB165*T165+$AB166*T166)/100</f>
        <v>578.94736842105272</v>
      </c>
    </row>
    <row r="165" spans="1:63" thickTop="1" thickBot="1" x14ac:dyDescent="0.3">
      <c r="A165" s="4">
        <v>376</v>
      </c>
      <c r="B165" s="93">
        <v>38</v>
      </c>
      <c r="C165" s="93">
        <v>6</v>
      </c>
      <c r="E165" s="1">
        <v>64</v>
      </c>
      <c r="F165" s="1">
        <v>-57</v>
      </c>
      <c r="G165" s="3">
        <f t="shared" si="43"/>
        <v>121</v>
      </c>
      <c r="I165" s="14">
        <v>10</v>
      </c>
      <c r="J165" s="3">
        <f t="shared" si="50"/>
        <v>16.410123966942137</v>
      </c>
      <c r="K165" s="6">
        <f t="shared" si="44"/>
        <v>186</v>
      </c>
      <c r="M165" s="80" t="s">
        <v>106</v>
      </c>
      <c r="O165" s="112">
        <f>0.664/1.9</f>
        <v>0.34947368421052633</v>
      </c>
      <c r="P165" s="113">
        <f>0.064/1.9</f>
        <v>3.3684210526315789E-2</v>
      </c>
      <c r="R165" s="116">
        <f>380/1.9</f>
        <v>200</v>
      </c>
      <c r="S165" s="117">
        <f>64/1.9</f>
        <v>33.684210526315788</v>
      </c>
      <c r="T165" s="118">
        <f>1400/1.9</f>
        <v>736.84210526315792</v>
      </c>
      <c r="V165" s="7">
        <v>134</v>
      </c>
      <c r="W165" s="74">
        <f t="shared" si="51"/>
        <v>16.571869709590462</v>
      </c>
      <c r="Y165" s="56">
        <v>39</v>
      </c>
      <c r="Z165" s="13">
        <f t="shared" si="45"/>
        <v>0.21363760352762257</v>
      </c>
      <c r="AB165">
        <v>10</v>
      </c>
      <c r="AC165" s="80" t="s">
        <v>65</v>
      </c>
      <c r="AI165" s="2">
        <v>700</v>
      </c>
      <c r="AJ165" s="7">
        <f t="shared" si="46"/>
        <v>0.13999999999999999</v>
      </c>
      <c r="AK165" s="8">
        <f t="shared" si="47"/>
        <v>0.20947368421052634</v>
      </c>
      <c r="AL165" s="56">
        <f t="shared" si="48"/>
        <v>2.357894736842105E-2</v>
      </c>
      <c r="AM165" s="9">
        <f t="shared" si="49"/>
        <v>1.0105263157894739E-2</v>
      </c>
    </row>
    <row r="166" spans="1:63" s="27" customFormat="1" thickTop="1" thickBot="1" x14ac:dyDescent="0.3">
      <c r="A166" s="21">
        <v>376</v>
      </c>
      <c r="B166" s="22">
        <v>38</v>
      </c>
      <c r="C166" s="22">
        <v>6</v>
      </c>
      <c r="D166" s="23"/>
      <c r="E166" s="24">
        <v>64</v>
      </c>
      <c r="F166" s="24">
        <v>-57</v>
      </c>
      <c r="G166" s="25">
        <f t="shared" si="43"/>
        <v>121</v>
      </c>
      <c r="H166" s="23"/>
      <c r="I166" s="22">
        <v>111</v>
      </c>
      <c r="J166" s="3">
        <f t="shared" si="50"/>
        <v>11.714876033057863</v>
      </c>
      <c r="K166" s="26">
        <f t="shared" si="44"/>
        <v>186</v>
      </c>
      <c r="L166" s="23"/>
      <c r="M166" s="122" t="s">
        <v>106</v>
      </c>
      <c r="N166" s="23"/>
      <c r="O166" s="114">
        <f>1.378/1.9</f>
        <v>0.72526315789473683</v>
      </c>
      <c r="P166" s="115">
        <f>0.117/1.9</f>
        <v>6.1578947368421059E-2</v>
      </c>
      <c r="Q166" s="23"/>
      <c r="R166" s="119">
        <f>374/1.9</f>
        <v>196.84210526315789</v>
      </c>
      <c r="S166" s="120">
        <f>43/1.9</f>
        <v>22.631578947368421</v>
      </c>
      <c r="T166" s="121">
        <f>800/1.9</f>
        <v>421.0526315789474</v>
      </c>
      <c r="U166" s="23"/>
      <c r="V166" s="33">
        <v>1682</v>
      </c>
      <c r="W166" s="34">
        <f t="shared" si="51"/>
        <v>14.350794514955043</v>
      </c>
      <c r="X166" s="5"/>
      <c r="Y166" s="55">
        <v>459</v>
      </c>
      <c r="Z166" s="34">
        <f t="shared" si="45"/>
        <v>0.14892497855454864</v>
      </c>
      <c r="AB166" s="27">
        <v>50</v>
      </c>
      <c r="AC166" s="88"/>
      <c r="AD166" s="5"/>
      <c r="AE166" s="28"/>
      <c r="AF166" s="3"/>
      <c r="AH166" s="5"/>
      <c r="AI166" s="2">
        <v>700</v>
      </c>
      <c r="AJ166" s="7">
        <f t="shared" si="46"/>
        <v>0.13778947368421052</v>
      </c>
      <c r="AK166" s="8">
        <f t="shared" si="47"/>
        <v>0.58747368421052637</v>
      </c>
      <c r="AL166" s="56">
        <f t="shared" si="48"/>
        <v>1.5842105263157893E-2</v>
      </c>
      <c r="AM166" s="9">
        <f t="shared" si="49"/>
        <v>4.5736842105263166E-2</v>
      </c>
      <c r="AN166" s="5"/>
      <c r="AO166" s="91"/>
      <c r="AP166" s="5"/>
      <c r="AQ166" s="96"/>
      <c r="AR166" s="5"/>
      <c r="AS166" s="30"/>
      <c r="AT166" s="31"/>
      <c r="AU166" s="32"/>
      <c r="BK166" s="5"/>
    </row>
    <row r="167" spans="1:63" thickTop="1" thickBot="1" x14ac:dyDescent="0.3">
      <c r="A167" s="15">
        <v>395</v>
      </c>
      <c r="B167" s="16">
        <v>40</v>
      </c>
      <c r="C167" s="16">
        <v>5</v>
      </c>
      <c r="D167" s="17"/>
      <c r="E167" s="1">
        <v>63</v>
      </c>
      <c r="F167" s="1">
        <v>-59</v>
      </c>
      <c r="G167" s="18">
        <f t="shared" si="43"/>
        <v>122</v>
      </c>
      <c r="H167" s="17"/>
      <c r="I167" s="16">
        <v>61</v>
      </c>
      <c r="J167" s="3">
        <f t="shared" si="50"/>
        <v>2.8125</v>
      </c>
      <c r="K167" s="20">
        <f t="shared" si="44"/>
        <v>174</v>
      </c>
      <c r="L167" s="17"/>
      <c r="N167" s="17"/>
      <c r="O167" s="8">
        <v>0.57199999999999995</v>
      </c>
      <c r="P167" s="9">
        <v>0.1</v>
      </c>
      <c r="Q167" s="17"/>
      <c r="R167" s="10">
        <v>287</v>
      </c>
      <c r="S167" s="11">
        <v>80</v>
      </c>
      <c r="T167" s="12">
        <v>1450</v>
      </c>
      <c r="U167" s="17"/>
      <c r="V167" s="7">
        <v>1545</v>
      </c>
      <c r="W167" s="74">
        <f t="shared" si="51"/>
        <v>14.369150702438372</v>
      </c>
      <c r="Y167" s="56">
        <v>740</v>
      </c>
      <c r="Z167" s="13">
        <f t="shared" si="45"/>
        <v>0.14612101611798131</v>
      </c>
      <c r="AB167" s="72">
        <v>85</v>
      </c>
      <c r="AC167" s="1" t="s">
        <v>66</v>
      </c>
      <c r="AE167" s="8">
        <f>(O167*AB167+O168*AB168+O169*AB169)/100</f>
        <v>0.54804999999999993</v>
      </c>
      <c r="AF167" s="3">
        <f>225-5.625*($B167-0.5)</f>
        <v>2.8125</v>
      </c>
      <c r="AG167">
        <f>K167</f>
        <v>174</v>
      </c>
      <c r="AI167" s="2">
        <v>900</v>
      </c>
      <c r="AJ167" s="7">
        <f t="shared" si="46"/>
        <v>0.25829999999999997</v>
      </c>
      <c r="AK167" s="8">
        <f t="shared" si="47"/>
        <v>0.31369999999999998</v>
      </c>
      <c r="AL167" s="56">
        <f t="shared" si="48"/>
        <v>7.1999999999999995E-2</v>
      </c>
      <c r="AM167" s="9">
        <f t="shared" si="49"/>
        <v>2.8000000000000011E-2</v>
      </c>
      <c r="AO167" s="90">
        <f>($AB167*AK167+$AB168*AK168+$AB169*AK169)/100</f>
        <v>0.31790499999999999</v>
      </c>
      <c r="AQ167" s="95">
        <f>($AB167*AM167+$AB168*AM168+$AB169*AM169)/100</f>
        <v>2.607000000000001E-2</v>
      </c>
      <c r="AS167" s="10">
        <f>($AB167*R167+$AB168*R168+$AB169*R169)/100</f>
        <v>261.60000000000002</v>
      </c>
      <c r="AT167" s="11">
        <f>($AB167*S167+$AB168*S168+$AB169*S169)/100</f>
        <v>74.8</v>
      </c>
      <c r="AU167" s="12">
        <f>($AB167*T167+$AB168*T168+$AB169*T169)/100</f>
        <v>1342.5</v>
      </c>
    </row>
    <row r="168" spans="1:63" thickTop="1" thickBot="1" x14ac:dyDescent="0.3">
      <c r="A168" s="4">
        <v>395</v>
      </c>
      <c r="B168" s="93">
        <v>40</v>
      </c>
      <c r="C168" s="93">
        <v>5</v>
      </c>
      <c r="E168" s="1">
        <v>63</v>
      </c>
      <c r="F168" s="1">
        <v>-59</v>
      </c>
      <c r="G168" s="3">
        <f t="shared" si="43"/>
        <v>122</v>
      </c>
      <c r="I168" s="14">
        <v>10</v>
      </c>
      <c r="J168" s="3">
        <f t="shared" si="50"/>
        <v>5.163934426229531</v>
      </c>
      <c r="K168" s="6">
        <f t="shared" si="44"/>
        <v>174</v>
      </c>
      <c r="O168" s="8">
        <v>0.26300000000000001</v>
      </c>
      <c r="P168" s="9">
        <v>2.7E-2</v>
      </c>
      <c r="R168" s="10">
        <v>121</v>
      </c>
      <c r="S168" s="11">
        <v>40</v>
      </c>
      <c r="T168" s="12">
        <v>900</v>
      </c>
      <c r="V168" s="7">
        <v>586</v>
      </c>
      <c r="W168" s="74">
        <f t="shared" si="51"/>
        <v>14.733120729037086</v>
      </c>
      <c r="Y168" s="56">
        <v>0</v>
      </c>
      <c r="Z168" s="13" t="e">
        <f t="shared" si="45"/>
        <v>#DIV/0!</v>
      </c>
      <c r="AB168">
        <v>5</v>
      </c>
      <c r="AI168" s="2">
        <v>600</v>
      </c>
      <c r="AJ168" s="7">
        <f t="shared" si="46"/>
        <v>7.2599999999999998E-2</v>
      </c>
      <c r="AK168" s="8">
        <f t="shared" si="47"/>
        <v>0.19040000000000001</v>
      </c>
      <c r="AL168" s="56">
        <f t="shared" si="48"/>
        <v>2.4E-2</v>
      </c>
      <c r="AM168" s="9">
        <f t="shared" si="49"/>
        <v>2.9999999999999992E-3</v>
      </c>
    </row>
    <row r="169" spans="1:63" s="27" customFormat="1" thickTop="1" thickBot="1" x14ac:dyDescent="0.3">
      <c r="A169" s="21">
        <v>395</v>
      </c>
      <c r="B169" s="22">
        <v>40</v>
      </c>
      <c r="C169" s="22">
        <v>5</v>
      </c>
      <c r="D169" s="23"/>
      <c r="E169" s="24">
        <v>63</v>
      </c>
      <c r="F169" s="24">
        <v>-59</v>
      </c>
      <c r="G169" s="25">
        <f t="shared" si="43"/>
        <v>122</v>
      </c>
      <c r="H169" s="23"/>
      <c r="I169" s="22">
        <v>112</v>
      </c>
      <c r="J169" s="3">
        <f t="shared" si="50"/>
        <v>0.46106557377046897</v>
      </c>
      <c r="K169" s="26">
        <f t="shared" si="44"/>
        <v>174</v>
      </c>
      <c r="L169" s="23"/>
      <c r="N169" s="23"/>
      <c r="O169" s="28">
        <v>0.48699999999999999</v>
      </c>
      <c r="P169" s="29">
        <v>0.05</v>
      </c>
      <c r="Q169" s="23"/>
      <c r="R169" s="30">
        <v>116</v>
      </c>
      <c r="S169" s="31">
        <v>48</v>
      </c>
      <c r="T169" s="32">
        <v>650</v>
      </c>
      <c r="U169" s="23"/>
      <c r="V169" s="33">
        <v>1014</v>
      </c>
      <c r="W169" s="34">
        <f t="shared" si="51"/>
        <v>14.486612196744138</v>
      </c>
      <c r="X169" s="5"/>
      <c r="Y169" s="55">
        <v>343</v>
      </c>
      <c r="Z169" s="34">
        <f t="shared" si="45"/>
        <v>0.15137850539308326</v>
      </c>
      <c r="AB169" s="27">
        <v>10</v>
      </c>
      <c r="AD169" s="5"/>
      <c r="AE169" s="28"/>
      <c r="AF169" s="3"/>
      <c r="AH169" s="5"/>
      <c r="AI169" s="2">
        <v>600</v>
      </c>
      <c r="AJ169" s="7">
        <f t="shared" si="46"/>
        <v>6.9599999999999995E-2</v>
      </c>
      <c r="AK169" s="8">
        <f t="shared" si="47"/>
        <v>0.41739999999999999</v>
      </c>
      <c r="AL169" s="56">
        <f t="shared" si="48"/>
        <v>2.8799999999999999E-2</v>
      </c>
      <c r="AM169" s="9">
        <f t="shared" si="49"/>
        <v>2.1200000000000004E-2</v>
      </c>
      <c r="AN169" s="5"/>
      <c r="AO169" s="91"/>
      <c r="AP169" s="5"/>
      <c r="AQ169" s="96"/>
      <c r="AR169" s="5"/>
      <c r="AS169" s="30"/>
      <c r="AT169" s="31"/>
      <c r="AU169" s="32"/>
      <c r="BK169" s="5"/>
    </row>
    <row r="170" spans="1:63" s="5" customFormat="1" ht="9.75" customHeight="1" thickTop="1" thickBot="1" x14ac:dyDescent="0.3"/>
    <row r="172" spans="1:63" ht="15" x14ac:dyDescent="0.25"/>
    <row r="173" spans="1:63" ht="15" x14ac:dyDescent="0.25"/>
    <row r="174" spans="1:63" ht="15" x14ac:dyDescent="0.25"/>
    <row r="175" spans="1:63" ht="15" x14ac:dyDescent="0.25"/>
    <row r="176" spans="1:63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Calibration</vt:lpstr>
      <vt:lpstr>for python plot</vt:lpstr>
      <vt:lpstr>equator</vt:lpstr>
    </vt:vector>
  </TitlesOfParts>
  <Company>Kungliga Tekniska Högskolan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Weckmann</dc:creator>
  <cp:lastModifiedBy>Commander Ratzepü</cp:lastModifiedBy>
  <cp:lastPrinted>2015-03-24T08:39:49Z</cp:lastPrinted>
  <dcterms:created xsi:type="dcterms:W3CDTF">2015-03-18T08:37:04Z</dcterms:created>
  <dcterms:modified xsi:type="dcterms:W3CDTF">2019-02-21T20:41:14Z</dcterms:modified>
</cp:coreProperties>
</file>