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B:\OneDrive\Experimental data\Elettra Photoemission\"/>
    </mc:Choice>
  </mc:AlternateContent>
  <xr:revisionPtr revIDLastSave="17" documentId="11_7EF28DBBD43EA6D8F9A6BE083D51673F31034571" xr6:coauthVersionLast="40" xr6:coauthVersionMax="40" xr10:uidLastSave="{3F6FEB71-912E-4992-9FBC-5C68889F68C0}"/>
  <bookViews>
    <workbookView xWindow="-120" yWindow="-120" windowWidth="29040" windowHeight="15840" xr2:uid="{00000000-000D-0000-FFFF-FFFF00000000}"/>
  </bookViews>
  <sheets>
    <sheet name="Sample name and LEED patterns" sheetId="1" r:id="rId1"/>
    <sheet name="AES analysis" sheetId="2" r:id="rId2"/>
    <sheet name="Flashing procedures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3" i="2" l="1"/>
  <c r="D3" i="2"/>
  <c r="D7" i="2" s="1"/>
  <c r="F3" i="2"/>
  <c r="B4" i="2"/>
  <c r="B7" i="2" s="1"/>
  <c r="D4" i="2"/>
  <c r="F4" i="2"/>
  <c r="G4" i="2"/>
  <c r="B5" i="2"/>
  <c r="D5" i="2"/>
  <c r="F5" i="2"/>
  <c r="B6" i="2"/>
  <c r="D6" i="2"/>
  <c r="F6" i="2"/>
  <c r="G6" i="2"/>
  <c r="F7" i="2"/>
  <c r="G3" i="2" s="1"/>
  <c r="B11" i="2"/>
  <c r="C11" i="2" s="1"/>
  <c r="D11" i="2"/>
  <c r="D14" i="2" s="1"/>
  <c r="F11" i="2"/>
  <c r="H11" i="2"/>
  <c r="B12" i="2"/>
  <c r="C12" i="2" s="1"/>
  <c r="D12" i="2"/>
  <c r="F12" i="2"/>
  <c r="H12" i="2"/>
  <c r="B13" i="2"/>
  <c r="C13" i="2" s="1"/>
  <c r="D13" i="2"/>
  <c r="F13" i="2"/>
  <c r="H13" i="2"/>
  <c r="B14" i="2"/>
  <c r="H14" i="2"/>
  <c r="I12" i="2" s="1"/>
  <c r="B18" i="2"/>
  <c r="D18" i="2"/>
  <c r="F18" i="2"/>
  <c r="G18" i="2" s="1"/>
  <c r="B19" i="2"/>
  <c r="D19" i="2"/>
  <c r="F19" i="2"/>
  <c r="B20" i="2"/>
  <c r="D20" i="2"/>
  <c r="F20" i="2"/>
  <c r="G20" i="2" s="1"/>
  <c r="F21" i="2"/>
  <c r="G19" i="2" s="1"/>
  <c r="B25" i="2"/>
  <c r="D25" i="2"/>
  <c r="D28" i="2" s="1"/>
  <c r="F25" i="2"/>
  <c r="H25" i="2"/>
  <c r="J25" i="2"/>
  <c r="L25" i="2"/>
  <c r="L28" i="2" s="1"/>
  <c r="B26" i="2"/>
  <c r="C26" i="2"/>
  <c r="D26" i="2"/>
  <c r="F26" i="2"/>
  <c r="H26" i="2"/>
  <c r="J26" i="2"/>
  <c r="K26" i="2"/>
  <c r="L26" i="2"/>
  <c r="B27" i="2"/>
  <c r="C27" i="2"/>
  <c r="D27" i="2"/>
  <c r="F27" i="2"/>
  <c r="H27" i="2"/>
  <c r="J27" i="2"/>
  <c r="K27" i="2"/>
  <c r="L27" i="2"/>
  <c r="B28" i="2"/>
  <c r="C25" i="2" s="1"/>
  <c r="F28" i="2"/>
  <c r="G27" i="2" s="1"/>
  <c r="H28" i="2"/>
  <c r="I25" i="2" s="1"/>
  <c r="J28" i="2"/>
  <c r="K25" i="2" s="1"/>
  <c r="C18" i="2" l="1"/>
  <c r="G13" i="2"/>
  <c r="E5" i="2"/>
  <c r="E4" i="2"/>
  <c r="E6" i="2"/>
  <c r="E3" i="2"/>
  <c r="C4" i="2"/>
  <c r="C3" i="2"/>
  <c r="C5" i="2"/>
  <c r="C6" i="2"/>
  <c r="M26" i="2"/>
  <c r="M27" i="2"/>
  <c r="M25" i="2"/>
  <c r="E26" i="2"/>
  <c r="E25" i="2"/>
  <c r="E27" i="2"/>
  <c r="E11" i="2"/>
  <c r="E12" i="2"/>
  <c r="E13" i="2"/>
  <c r="I27" i="2"/>
  <c r="I26" i="2"/>
  <c r="I11" i="2"/>
  <c r="G26" i="2"/>
  <c r="G25" i="2"/>
  <c r="B21" i="2"/>
  <c r="C19" i="2" s="1"/>
  <c r="F14" i="2"/>
  <c r="G12" i="2" s="1"/>
  <c r="G5" i="2"/>
  <c r="D21" i="2"/>
  <c r="I13" i="2"/>
  <c r="E18" i="2" l="1"/>
  <c r="E20" i="2"/>
  <c r="G11" i="2"/>
  <c r="E19" i="2"/>
  <c r="C20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Nathan Lewis</author>
  </authors>
  <commentList>
    <comment ref="D17" authorId="0" shapeId="0" xr:uid="{FC83CEBD-A376-4D7E-B70B-883A32E04389}">
      <text>
        <r>
          <rPr>
            <b/>
            <sz val="9"/>
            <color indexed="81"/>
            <rFont val="Tahoma"/>
            <charset val="1"/>
          </rPr>
          <t>Nathan Lewis:</t>
        </r>
        <r>
          <rPr>
            <sz val="9"/>
            <color indexed="81"/>
            <rFont val="Tahoma"/>
            <charset val="1"/>
          </rPr>
          <t xml:space="preserve">
Clearly the surface had degraded because of the AES spectra that was obtained. A large amount of carbon was put down onto the surface. 
Question: Does the initial AES spectra that I obtain not help to produce a surface reconstruction? No because I have seen this type of this happening before.
</t>
        </r>
      </text>
    </comment>
  </commentList>
</comments>
</file>

<file path=xl/sharedStrings.xml><?xml version="1.0" encoding="utf-8"?>
<sst xmlns="http://schemas.openxmlformats.org/spreadsheetml/2006/main" count="302" uniqueCount="116">
  <si>
    <t>Sample #</t>
  </si>
  <si>
    <t>Short axis</t>
  </si>
  <si>
    <t>Sample type</t>
  </si>
  <si>
    <t>LEED pattern names</t>
  </si>
  <si>
    <t>Face orientation</t>
  </si>
  <si>
    <t>Comments</t>
  </si>
  <si>
    <t>Original</t>
  </si>
  <si>
    <t>[1-12]</t>
  </si>
  <si>
    <t>LEED43 - 68</t>
  </si>
  <si>
    <t>Front face</t>
  </si>
  <si>
    <t>[-112]</t>
  </si>
  <si>
    <t>LEED71 - 80</t>
  </si>
  <si>
    <t>Back face</t>
  </si>
  <si>
    <t>LEED81 - 82</t>
  </si>
  <si>
    <t>Au evaporation</t>
  </si>
  <si>
    <t>LEED83 - 86</t>
  </si>
  <si>
    <t>LEED87 - 90</t>
  </si>
  <si>
    <t>LEED91 - 99</t>
  </si>
  <si>
    <t>LEED100 - 122</t>
  </si>
  <si>
    <t>LEED123 - 130</t>
  </si>
  <si>
    <t>LEED131 - 133</t>
  </si>
  <si>
    <t>ELETTRA</t>
  </si>
  <si>
    <t>n/a</t>
  </si>
  <si>
    <t>Unsure</t>
  </si>
  <si>
    <t>Repolished</t>
  </si>
  <si>
    <t>none</t>
  </si>
  <si>
    <t>Split</t>
  </si>
  <si>
    <t>LEED134 - 138</t>
  </si>
  <si>
    <t>LEED139 - 151</t>
  </si>
  <si>
    <t xml:space="preserve">[-112] </t>
  </si>
  <si>
    <t>LEED152 - 156</t>
  </si>
  <si>
    <t>LEED157 - 161</t>
  </si>
  <si>
    <t>LEED162 - 167</t>
  </si>
  <si>
    <t>LEED168 - 169</t>
  </si>
  <si>
    <t>LEED170 - 172</t>
  </si>
  <si>
    <t>New sample</t>
  </si>
  <si>
    <t>LEED173 - 175</t>
  </si>
  <si>
    <t>LEED176 - 179</t>
  </si>
  <si>
    <t>LEED180 - 183</t>
  </si>
  <si>
    <t>LEED184 - 186</t>
  </si>
  <si>
    <t>LEED188- 191</t>
  </si>
  <si>
    <t>LEED192</t>
  </si>
  <si>
    <t>LEED193 - 196</t>
  </si>
  <si>
    <t>LEED197- 199</t>
  </si>
  <si>
    <t>LEED201 - 204</t>
  </si>
  <si>
    <t>LEED205 - 207</t>
  </si>
  <si>
    <t>LEED208 - 209</t>
  </si>
  <si>
    <t>Non-sticky face (front face)</t>
  </si>
  <si>
    <t>LEED210 - 211</t>
  </si>
  <si>
    <t>Nice sharp LEED pattern but not 16 x 2</t>
  </si>
  <si>
    <t>LEED212 - 217</t>
  </si>
  <si>
    <t>Nice 16 x2 pattern clearly vertical spots</t>
  </si>
  <si>
    <t>LEED218 - 219</t>
  </si>
  <si>
    <t>Double domain - Sample had AES performed on it</t>
  </si>
  <si>
    <t>LEED220 - 222</t>
  </si>
  <si>
    <t>220 shows single - Double due to AES</t>
  </si>
  <si>
    <t>LEED223 - 224</t>
  </si>
  <si>
    <t>Partial double domain - heating non-uniform?</t>
  </si>
  <si>
    <t>Nickel contamination, Elettra</t>
  </si>
  <si>
    <t>3. Cannot remove all</t>
  </si>
  <si>
    <t>2. Do not overheat</t>
  </si>
  <si>
    <t>1. Remove most stuff</t>
  </si>
  <si>
    <t>Conclusions</t>
  </si>
  <si>
    <t>Total</t>
  </si>
  <si>
    <t>O</t>
  </si>
  <si>
    <t>C</t>
  </si>
  <si>
    <t>Si</t>
  </si>
  <si>
    <t>Percentage</t>
  </si>
  <si>
    <t>A292</t>
  </si>
  <si>
    <t>A291</t>
  </si>
  <si>
    <t>A290</t>
  </si>
  <si>
    <t>A289</t>
  </si>
  <si>
    <t>A288</t>
  </si>
  <si>
    <t>Perctange</t>
  </si>
  <si>
    <t>A287</t>
  </si>
  <si>
    <t>Date</t>
  </si>
  <si>
    <t>Sample 44</t>
  </si>
  <si>
    <t>Element</t>
  </si>
  <si>
    <t>A286</t>
  </si>
  <si>
    <t>A285</t>
  </si>
  <si>
    <t>A284</t>
  </si>
  <si>
    <t>Sample 43</t>
  </si>
  <si>
    <t>A283</t>
  </si>
  <si>
    <t>A282</t>
  </si>
  <si>
    <t>A281</t>
  </si>
  <si>
    <t>A279</t>
  </si>
  <si>
    <t>Sample 42</t>
  </si>
  <si>
    <t>N</t>
  </si>
  <si>
    <t>A278</t>
  </si>
  <si>
    <t>A277</t>
  </si>
  <si>
    <t>A275</t>
  </si>
  <si>
    <t>Sensitivity</t>
  </si>
  <si>
    <t>7 flashes (LEED220) z = 11</t>
  </si>
  <si>
    <t>7 flashes (LEED221) z = 8</t>
  </si>
  <si>
    <t>Degassing</t>
  </si>
  <si>
    <t>8 flashes (LEED218) z = 10</t>
  </si>
  <si>
    <t>10 flashes (LEED217) Z = 11</t>
  </si>
  <si>
    <t>Left over a week z = 11</t>
  </si>
  <si>
    <t>Had to retake spectra as it didn't save</t>
  </si>
  <si>
    <t>Moved on sample to z = 10</t>
  </si>
  <si>
    <t>Reconstruction (5 flashes)</t>
  </si>
  <si>
    <t>Reconstruction (4 flashes)</t>
  </si>
  <si>
    <t>Three flashes, up to 1210 C</t>
  </si>
  <si>
    <t>Moved on sample to z = 6</t>
  </si>
  <si>
    <t>Three flashes, up to 1230 C</t>
  </si>
  <si>
    <t>Left over two days</t>
  </si>
  <si>
    <t>One flash and an anneal</t>
  </si>
  <si>
    <t>One flash to 1210 C</t>
  </si>
  <si>
    <t>One flash to 1240 C</t>
  </si>
  <si>
    <t>Procedure before spectrum</t>
  </si>
  <si>
    <t>Sample</t>
  </si>
  <si>
    <t>AES #</t>
  </si>
  <si>
    <t>Double domain Elettra, 3rd beamtime</t>
  </si>
  <si>
    <t>Elettra, 3rd beamtime</t>
  </si>
  <si>
    <t xml:space="preserve">[1-12] </t>
  </si>
  <si>
    <t>unsure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</si>
</sst>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10" fontId="0" fillId="0" borderId="0" xfId="0" applyNumberFormat="1"/>
    <xf numFmtId="0" fontId="0" fillId="0" borderId="1" xfId="0" applyBorder="1"/>
    <xf numFmtId="0" fontId="0" fillId="0" borderId="2" xfId="0" applyBorder="1"/>
    <xf numFmtId="10" fontId="0" fillId="0" borderId="1" xfId="0" applyNumberFormat="1" applyBorder="1"/>
    <xf numFmtId="10" fontId="0" fillId="0" borderId="2" xfId="0" applyNumberFormat="1" applyBorder="1"/>
    <xf numFmtId="10" fontId="0" fillId="0" borderId="3" xfId="0" applyNumberFormat="1" applyBorder="1"/>
    <xf numFmtId="10" fontId="0" fillId="0" borderId="4" xfId="0" applyNumberFormat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14" fontId="0" fillId="0" borderId="1" xfId="0" applyNumberFormat="1" applyBorder="1"/>
    <xf numFmtId="14" fontId="0" fillId="0" borderId="2" xfId="0" applyNumberFormat="1" applyBorder="1"/>
    <xf numFmtId="0" fontId="0" fillId="0" borderId="7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9"/>
  <sheetViews>
    <sheetView tabSelected="1" workbookViewId="0">
      <selection activeCell="D66" sqref="D66"/>
    </sheetView>
  </sheetViews>
  <sheetFormatPr defaultRowHeight="15" x14ac:dyDescent="0.25"/>
  <cols>
    <col min="2" max="2" width="9.5703125" bestFit="1" customWidth="1"/>
    <col min="3" max="3" width="12" bestFit="1" customWidth="1"/>
    <col min="4" max="4" width="18.7109375" bestFit="1" customWidth="1"/>
    <col min="5" max="5" width="25.7109375" bestFit="1" customWidth="1"/>
    <col min="6" max="6" width="45.85546875" bestFit="1" customWidth="1"/>
  </cols>
  <sheetData>
    <row r="1" spans="1:6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x14ac:dyDescent="0.25">
      <c r="A2">
        <v>1</v>
      </c>
      <c r="C2" t="s">
        <v>6</v>
      </c>
    </row>
    <row r="3" spans="1:6" x14ac:dyDescent="0.25">
      <c r="A3">
        <v>2</v>
      </c>
      <c r="C3" t="s">
        <v>6</v>
      </c>
    </row>
    <row r="4" spans="1:6" x14ac:dyDescent="0.25">
      <c r="A4">
        <v>3</v>
      </c>
      <c r="C4" t="s">
        <v>6</v>
      </c>
    </row>
    <row r="5" spans="1:6" x14ac:dyDescent="0.25">
      <c r="A5">
        <v>4</v>
      </c>
      <c r="C5" t="s">
        <v>6</v>
      </c>
    </row>
    <row r="6" spans="1:6" x14ac:dyDescent="0.25">
      <c r="A6">
        <v>5</v>
      </c>
      <c r="B6" t="s">
        <v>7</v>
      </c>
      <c r="C6" t="s">
        <v>6</v>
      </c>
      <c r="D6" t="s">
        <v>8</v>
      </c>
      <c r="E6" t="s">
        <v>9</v>
      </c>
    </row>
    <row r="7" spans="1:6" x14ac:dyDescent="0.25">
      <c r="A7">
        <v>6</v>
      </c>
      <c r="B7" t="s">
        <v>10</v>
      </c>
      <c r="C7" t="s">
        <v>6</v>
      </c>
      <c r="D7" t="s">
        <v>11</v>
      </c>
      <c r="E7" t="s">
        <v>12</v>
      </c>
    </row>
    <row r="8" spans="1:6" x14ac:dyDescent="0.25">
      <c r="A8">
        <v>7</v>
      </c>
      <c r="B8" t="s">
        <v>10</v>
      </c>
      <c r="C8" t="s">
        <v>6</v>
      </c>
      <c r="D8" t="s">
        <v>13</v>
      </c>
      <c r="E8" t="s">
        <v>12</v>
      </c>
      <c r="F8" t="s">
        <v>14</v>
      </c>
    </row>
    <row r="9" spans="1:6" x14ac:dyDescent="0.25">
      <c r="A9">
        <v>8</v>
      </c>
      <c r="B9" t="s">
        <v>7</v>
      </c>
      <c r="C9" t="s">
        <v>6</v>
      </c>
      <c r="D9" t="s">
        <v>15</v>
      </c>
      <c r="F9" t="s">
        <v>14</v>
      </c>
    </row>
    <row r="10" spans="1:6" x14ac:dyDescent="0.25">
      <c r="A10">
        <v>9</v>
      </c>
      <c r="B10" t="s">
        <v>7</v>
      </c>
      <c r="C10" t="s">
        <v>6</v>
      </c>
      <c r="D10" t="s">
        <v>16</v>
      </c>
      <c r="E10" t="s">
        <v>9</v>
      </c>
    </row>
    <row r="11" spans="1:6" x14ac:dyDescent="0.25">
      <c r="A11">
        <v>10</v>
      </c>
      <c r="B11" t="s">
        <v>7</v>
      </c>
      <c r="C11" t="s">
        <v>6</v>
      </c>
      <c r="D11" t="s">
        <v>17</v>
      </c>
      <c r="E11" t="s">
        <v>12</v>
      </c>
    </row>
    <row r="12" spans="1:6" x14ac:dyDescent="0.25">
      <c r="A12">
        <v>11</v>
      </c>
      <c r="B12" t="s">
        <v>7</v>
      </c>
      <c r="C12" t="s">
        <v>6</v>
      </c>
      <c r="D12" t="s">
        <v>18</v>
      </c>
      <c r="E12" t="s">
        <v>9</v>
      </c>
    </row>
    <row r="13" spans="1:6" x14ac:dyDescent="0.25">
      <c r="A13">
        <v>12</v>
      </c>
      <c r="B13" t="s">
        <v>10</v>
      </c>
      <c r="C13" t="s">
        <v>6</v>
      </c>
      <c r="D13" t="s">
        <v>19</v>
      </c>
      <c r="E13" t="s">
        <v>9</v>
      </c>
    </row>
    <row r="14" spans="1:6" x14ac:dyDescent="0.25">
      <c r="A14">
        <v>13</v>
      </c>
      <c r="B14" t="s">
        <v>7</v>
      </c>
      <c r="C14" t="s">
        <v>6</v>
      </c>
    </row>
    <row r="15" spans="1:6" x14ac:dyDescent="0.25">
      <c r="A15">
        <v>14</v>
      </c>
      <c r="B15" t="s">
        <v>7</v>
      </c>
      <c r="C15" t="s">
        <v>6</v>
      </c>
      <c r="D15" t="s">
        <v>20</v>
      </c>
      <c r="E15" t="s">
        <v>12</v>
      </c>
    </row>
    <row r="16" spans="1:6" x14ac:dyDescent="0.25">
      <c r="A16">
        <v>15</v>
      </c>
      <c r="C16" t="s">
        <v>6</v>
      </c>
      <c r="F16" t="s">
        <v>21</v>
      </c>
    </row>
    <row r="17" spans="1:6" x14ac:dyDescent="0.25">
      <c r="A17">
        <v>16</v>
      </c>
      <c r="C17" t="s">
        <v>6</v>
      </c>
      <c r="F17" t="s">
        <v>21</v>
      </c>
    </row>
    <row r="18" spans="1:6" x14ac:dyDescent="0.25">
      <c r="A18">
        <v>17</v>
      </c>
      <c r="C18" t="s">
        <v>6</v>
      </c>
      <c r="F18" t="s">
        <v>21</v>
      </c>
    </row>
    <row r="19" spans="1:6" x14ac:dyDescent="0.25">
      <c r="A19">
        <v>18</v>
      </c>
      <c r="C19" t="s">
        <v>6</v>
      </c>
      <c r="F19" t="s">
        <v>21</v>
      </c>
    </row>
    <row r="20" spans="1:6" x14ac:dyDescent="0.25">
      <c r="A20">
        <v>19</v>
      </c>
      <c r="C20" t="s">
        <v>6</v>
      </c>
      <c r="F20" t="s">
        <v>21</v>
      </c>
    </row>
    <row r="21" spans="1:6" x14ac:dyDescent="0.25">
      <c r="A21">
        <v>20</v>
      </c>
      <c r="B21" t="s">
        <v>22</v>
      </c>
      <c r="C21" t="s">
        <v>22</v>
      </c>
      <c r="D21" t="s">
        <v>22</v>
      </c>
      <c r="E21" t="s">
        <v>22</v>
      </c>
      <c r="F21" t="s">
        <v>23</v>
      </c>
    </row>
    <row r="22" spans="1:6" x14ac:dyDescent="0.25">
      <c r="A22">
        <v>21</v>
      </c>
      <c r="B22" t="s">
        <v>10</v>
      </c>
      <c r="C22" t="s">
        <v>24</v>
      </c>
      <c r="D22" t="s">
        <v>25</v>
      </c>
      <c r="F22" t="s">
        <v>26</v>
      </c>
    </row>
    <row r="23" spans="1:6" x14ac:dyDescent="0.25">
      <c r="A23">
        <v>22</v>
      </c>
      <c r="B23" t="s">
        <v>10</v>
      </c>
      <c r="C23" t="s">
        <v>24</v>
      </c>
      <c r="D23" t="s">
        <v>27</v>
      </c>
      <c r="E23" t="s">
        <v>12</v>
      </c>
    </row>
    <row r="24" spans="1:6" x14ac:dyDescent="0.25">
      <c r="A24">
        <v>23</v>
      </c>
      <c r="B24" t="s">
        <v>10</v>
      </c>
      <c r="C24" t="s">
        <v>24</v>
      </c>
      <c r="D24" t="s">
        <v>28</v>
      </c>
      <c r="E24" t="s">
        <v>9</v>
      </c>
    </row>
    <row r="25" spans="1:6" x14ac:dyDescent="0.25">
      <c r="A25">
        <v>24</v>
      </c>
      <c r="B25" t="s">
        <v>29</v>
      </c>
      <c r="C25" t="s">
        <v>24</v>
      </c>
      <c r="D25" t="s">
        <v>30</v>
      </c>
      <c r="E25" t="s">
        <v>9</v>
      </c>
      <c r="F25" t="s">
        <v>14</v>
      </c>
    </row>
    <row r="26" spans="1:6" x14ac:dyDescent="0.25">
      <c r="A26">
        <v>25</v>
      </c>
      <c r="B26" t="s">
        <v>7</v>
      </c>
      <c r="C26" t="s">
        <v>6</v>
      </c>
      <c r="D26" t="s">
        <v>31</v>
      </c>
      <c r="E26" t="s">
        <v>9</v>
      </c>
    </row>
    <row r="27" spans="1:6" x14ac:dyDescent="0.25">
      <c r="A27">
        <v>26</v>
      </c>
      <c r="B27" t="s">
        <v>29</v>
      </c>
      <c r="C27" t="s">
        <v>24</v>
      </c>
      <c r="D27" t="s">
        <v>32</v>
      </c>
      <c r="E27" t="s">
        <v>9</v>
      </c>
    </row>
    <row r="28" spans="1:6" x14ac:dyDescent="0.25">
      <c r="A28">
        <v>27</v>
      </c>
      <c r="B28" t="s">
        <v>7</v>
      </c>
      <c r="C28" t="s">
        <v>6</v>
      </c>
      <c r="D28" t="s">
        <v>33</v>
      </c>
      <c r="E28" t="s">
        <v>9</v>
      </c>
    </row>
    <row r="29" spans="1:6" x14ac:dyDescent="0.25">
      <c r="A29">
        <v>28</v>
      </c>
      <c r="C29" t="s">
        <v>6</v>
      </c>
      <c r="D29" t="s">
        <v>34</v>
      </c>
    </row>
    <row r="30" spans="1:6" x14ac:dyDescent="0.25">
      <c r="A30">
        <v>29</v>
      </c>
      <c r="B30" t="s">
        <v>10</v>
      </c>
      <c r="C30" t="s">
        <v>35</v>
      </c>
      <c r="D30" t="s">
        <v>36</v>
      </c>
    </row>
    <row r="31" spans="1:6" x14ac:dyDescent="0.25">
      <c r="A31">
        <v>30</v>
      </c>
      <c r="B31" t="s">
        <v>7</v>
      </c>
      <c r="C31" t="s">
        <v>35</v>
      </c>
      <c r="D31" t="s">
        <v>37</v>
      </c>
      <c r="E31" t="s">
        <v>12</v>
      </c>
    </row>
    <row r="32" spans="1:6" x14ac:dyDescent="0.25">
      <c r="A32">
        <v>31</v>
      </c>
      <c r="B32" t="s">
        <v>10</v>
      </c>
      <c r="C32" t="s">
        <v>35</v>
      </c>
      <c r="D32" t="s">
        <v>38</v>
      </c>
      <c r="E32" t="s">
        <v>22</v>
      </c>
    </row>
    <row r="33" spans="1:6" x14ac:dyDescent="0.25">
      <c r="A33">
        <v>32</v>
      </c>
      <c r="B33" t="s">
        <v>10</v>
      </c>
      <c r="C33" t="s">
        <v>35</v>
      </c>
      <c r="D33" t="s">
        <v>39</v>
      </c>
      <c r="E33" t="s">
        <v>9</v>
      </c>
    </row>
    <row r="34" spans="1:6" x14ac:dyDescent="0.25">
      <c r="A34">
        <v>33</v>
      </c>
      <c r="B34" t="s">
        <v>10</v>
      </c>
      <c r="C34" t="s">
        <v>35</v>
      </c>
      <c r="D34" t="s">
        <v>40</v>
      </c>
      <c r="E34" t="s">
        <v>9</v>
      </c>
      <c r="F34" t="s">
        <v>21</v>
      </c>
    </row>
    <row r="35" spans="1:6" x14ac:dyDescent="0.25">
      <c r="A35">
        <v>34</v>
      </c>
      <c r="B35" t="s">
        <v>7</v>
      </c>
      <c r="C35" t="s">
        <v>35</v>
      </c>
      <c r="D35" t="s">
        <v>41</v>
      </c>
      <c r="E35" t="s">
        <v>22</v>
      </c>
    </row>
    <row r="36" spans="1:6" x14ac:dyDescent="0.25">
      <c r="A36">
        <v>35</v>
      </c>
      <c r="B36" t="s">
        <v>7</v>
      </c>
      <c r="C36" t="s">
        <v>35</v>
      </c>
      <c r="D36" t="s">
        <v>42</v>
      </c>
      <c r="E36" t="s">
        <v>12</v>
      </c>
    </row>
    <row r="37" spans="1:6" x14ac:dyDescent="0.25">
      <c r="A37">
        <v>36</v>
      </c>
      <c r="B37" t="s">
        <v>7</v>
      </c>
      <c r="C37" t="s">
        <v>35</v>
      </c>
      <c r="D37" t="s">
        <v>22</v>
      </c>
      <c r="E37" t="s">
        <v>22</v>
      </c>
    </row>
    <row r="38" spans="1:6" x14ac:dyDescent="0.25">
      <c r="A38">
        <v>37</v>
      </c>
      <c r="B38" t="s">
        <v>10</v>
      </c>
      <c r="C38" t="s">
        <v>35</v>
      </c>
      <c r="D38" t="s">
        <v>43</v>
      </c>
      <c r="E38" t="s">
        <v>9</v>
      </c>
    </row>
    <row r="39" spans="1:6" x14ac:dyDescent="0.25">
      <c r="A39">
        <v>38</v>
      </c>
      <c r="B39" t="s">
        <v>7</v>
      </c>
      <c r="C39" t="s">
        <v>6</v>
      </c>
      <c r="D39" t="s">
        <v>44</v>
      </c>
      <c r="E39" t="s">
        <v>9</v>
      </c>
    </row>
    <row r="40" spans="1:6" x14ac:dyDescent="0.25">
      <c r="A40">
        <v>39</v>
      </c>
      <c r="B40" t="s">
        <v>7</v>
      </c>
      <c r="C40" t="s">
        <v>6</v>
      </c>
      <c r="D40" t="s">
        <v>45</v>
      </c>
      <c r="F40" t="s">
        <v>21</v>
      </c>
    </row>
    <row r="41" spans="1:6" x14ac:dyDescent="0.25">
      <c r="A41">
        <v>40</v>
      </c>
      <c r="B41" t="s">
        <v>7</v>
      </c>
      <c r="C41" t="s">
        <v>6</v>
      </c>
      <c r="E41" t="s">
        <v>9</v>
      </c>
      <c r="F41" t="s">
        <v>21</v>
      </c>
    </row>
    <row r="42" spans="1:6" x14ac:dyDescent="0.25">
      <c r="A42">
        <v>41</v>
      </c>
      <c r="B42" t="s">
        <v>7</v>
      </c>
      <c r="C42" t="s">
        <v>6</v>
      </c>
      <c r="E42" t="s">
        <v>9</v>
      </c>
      <c r="F42" t="s">
        <v>21</v>
      </c>
    </row>
    <row r="43" spans="1:6" x14ac:dyDescent="0.25">
      <c r="A43">
        <v>42</v>
      </c>
      <c r="B43" t="s">
        <v>7</v>
      </c>
      <c r="C43" t="s">
        <v>6</v>
      </c>
      <c r="D43" t="s">
        <v>46</v>
      </c>
      <c r="E43" t="s">
        <v>47</v>
      </c>
    </row>
    <row r="44" spans="1:6" x14ac:dyDescent="0.25">
      <c r="A44">
        <v>43</v>
      </c>
      <c r="B44" t="s">
        <v>7</v>
      </c>
      <c r="C44" t="s">
        <v>35</v>
      </c>
      <c r="D44" t="s">
        <v>48</v>
      </c>
      <c r="E44" t="s">
        <v>12</v>
      </c>
      <c r="F44" t="s">
        <v>49</v>
      </c>
    </row>
    <row r="45" spans="1:6" x14ac:dyDescent="0.25">
      <c r="A45">
        <v>44</v>
      </c>
      <c r="B45" t="s">
        <v>10</v>
      </c>
      <c r="C45" t="s">
        <v>35</v>
      </c>
      <c r="D45" t="s">
        <v>50</v>
      </c>
      <c r="E45" t="s">
        <v>9</v>
      </c>
      <c r="F45" t="s">
        <v>51</v>
      </c>
    </row>
    <row r="46" spans="1:6" x14ac:dyDescent="0.25">
      <c r="A46">
        <v>45</v>
      </c>
      <c r="B46" t="s">
        <v>10</v>
      </c>
      <c r="C46" t="s">
        <v>35</v>
      </c>
      <c r="D46" t="s">
        <v>52</v>
      </c>
      <c r="E46" t="s">
        <v>9</v>
      </c>
      <c r="F46" t="s">
        <v>53</v>
      </c>
    </row>
    <row r="47" spans="1:6" x14ac:dyDescent="0.25">
      <c r="A47">
        <v>46</v>
      </c>
      <c r="B47" t="s">
        <v>10</v>
      </c>
      <c r="C47" t="s">
        <v>35</v>
      </c>
      <c r="D47" t="s">
        <v>54</v>
      </c>
      <c r="E47" t="s">
        <v>9</v>
      </c>
      <c r="F47" t="s">
        <v>55</v>
      </c>
    </row>
    <row r="48" spans="1:6" x14ac:dyDescent="0.25">
      <c r="A48">
        <v>47</v>
      </c>
      <c r="B48" t="s">
        <v>10</v>
      </c>
      <c r="C48" t="s">
        <v>35</v>
      </c>
      <c r="D48" t="s">
        <v>56</v>
      </c>
      <c r="E48" t="s">
        <v>9</v>
      </c>
      <c r="F48" t="s">
        <v>57</v>
      </c>
    </row>
    <row r="49" spans="1:6" x14ac:dyDescent="0.25">
      <c r="A49">
        <v>48</v>
      </c>
      <c r="B49" t="s">
        <v>10</v>
      </c>
      <c r="C49" t="s">
        <v>35</v>
      </c>
    </row>
    <row r="50" spans="1:6" x14ac:dyDescent="0.25">
      <c r="A50">
        <v>49</v>
      </c>
      <c r="B50" t="s">
        <v>115</v>
      </c>
    </row>
    <row r="51" spans="1:6" x14ac:dyDescent="0.25">
      <c r="A51">
        <v>50</v>
      </c>
      <c r="B51" t="s">
        <v>10</v>
      </c>
      <c r="C51" t="s">
        <v>35</v>
      </c>
      <c r="F51" t="s">
        <v>58</v>
      </c>
    </row>
    <row r="52" spans="1:6" x14ac:dyDescent="0.25">
      <c r="A52">
        <v>51</v>
      </c>
      <c r="B52" t="s">
        <v>10</v>
      </c>
      <c r="C52" t="s">
        <v>35</v>
      </c>
    </row>
    <row r="53" spans="1:6" x14ac:dyDescent="0.25">
      <c r="A53">
        <v>52</v>
      </c>
      <c r="B53" t="s">
        <v>7</v>
      </c>
      <c r="C53" t="s">
        <v>6</v>
      </c>
    </row>
    <row r="54" spans="1:6" x14ac:dyDescent="0.25">
      <c r="A54">
        <v>53</v>
      </c>
      <c r="B54" t="s">
        <v>7</v>
      </c>
      <c r="C54" t="s">
        <v>6</v>
      </c>
      <c r="F54" t="s">
        <v>112</v>
      </c>
    </row>
    <row r="55" spans="1:6" x14ac:dyDescent="0.25">
      <c r="A55">
        <v>54</v>
      </c>
      <c r="B55" t="s">
        <v>7</v>
      </c>
      <c r="C55" t="s">
        <v>6</v>
      </c>
      <c r="F55" t="s">
        <v>113</v>
      </c>
    </row>
    <row r="56" spans="1:6" x14ac:dyDescent="0.25">
      <c r="A56">
        <v>55</v>
      </c>
      <c r="B56" t="s">
        <v>115</v>
      </c>
      <c r="F56" t="s">
        <v>113</v>
      </c>
    </row>
    <row r="57" spans="1:6" x14ac:dyDescent="0.25">
      <c r="A57">
        <v>56</v>
      </c>
      <c r="B57" t="s">
        <v>115</v>
      </c>
      <c r="F57" t="s">
        <v>113</v>
      </c>
    </row>
    <row r="58" spans="1:6" x14ac:dyDescent="0.25">
      <c r="A58">
        <v>58</v>
      </c>
      <c r="B58" t="s">
        <v>114</v>
      </c>
      <c r="C58" t="s">
        <v>6</v>
      </c>
      <c r="E58" t="s">
        <v>9</v>
      </c>
      <c r="F58" t="s">
        <v>113</v>
      </c>
    </row>
    <row r="59" spans="1:6" x14ac:dyDescent="0.25">
      <c r="A59">
        <v>63</v>
      </c>
      <c r="B59" t="s">
        <v>10</v>
      </c>
      <c r="C59" t="s">
        <v>35</v>
      </c>
      <c r="E59" t="s">
        <v>9</v>
      </c>
      <c r="F59" t="s">
        <v>113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0006B0-7D17-46F0-B97C-31FB303399A5}">
  <dimension ref="A1:M33"/>
  <sheetViews>
    <sheetView workbookViewId="0">
      <selection activeCell="L25" sqref="L25"/>
    </sheetView>
  </sheetViews>
  <sheetFormatPr defaultRowHeight="15" x14ac:dyDescent="0.25"/>
  <cols>
    <col min="1" max="1" width="11.5703125" bestFit="1" customWidth="1"/>
    <col min="2" max="2" width="10" bestFit="1" customWidth="1"/>
    <col min="3" max="3" width="12" style="1" bestFit="1" customWidth="1"/>
    <col min="4" max="4" width="10.7109375" bestFit="1" customWidth="1"/>
    <col min="5" max="5" width="12" style="1" bestFit="1" customWidth="1"/>
    <col min="7" max="7" width="12" style="1" bestFit="1" customWidth="1"/>
    <col min="9" max="9" width="11" style="1" bestFit="1" customWidth="1"/>
    <col min="10" max="10" width="10.85546875" bestFit="1" customWidth="1"/>
    <col min="11" max="11" width="11.140625" bestFit="1" customWidth="1"/>
    <col min="12" max="12" width="10.28515625" bestFit="1" customWidth="1"/>
    <col min="13" max="13" width="12.140625" bestFit="1" customWidth="1"/>
  </cols>
  <sheetData>
    <row r="1" spans="1:12" x14ac:dyDescent="0.25">
      <c r="A1" s="2" t="s">
        <v>77</v>
      </c>
      <c r="B1" s="2" t="s">
        <v>86</v>
      </c>
      <c r="C1" s="5" t="s">
        <v>75</v>
      </c>
      <c r="D1" s="12">
        <v>43152</v>
      </c>
      <c r="K1" s="2" t="s">
        <v>77</v>
      </c>
      <c r="L1" s="2" t="s">
        <v>91</v>
      </c>
    </row>
    <row r="2" spans="1:12" x14ac:dyDescent="0.25">
      <c r="A2" s="2"/>
      <c r="B2" s="2" t="s">
        <v>90</v>
      </c>
      <c r="C2" s="4" t="s">
        <v>73</v>
      </c>
      <c r="D2" s="8" t="s">
        <v>89</v>
      </c>
      <c r="E2" s="4" t="s">
        <v>67</v>
      </c>
      <c r="F2" s="2" t="s">
        <v>88</v>
      </c>
      <c r="G2" s="4" t="s">
        <v>67</v>
      </c>
      <c r="K2" s="2" t="s">
        <v>66</v>
      </c>
      <c r="L2" s="2">
        <v>0.35</v>
      </c>
    </row>
    <row r="3" spans="1:12" x14ac:dyDescent="0.25">
      <c r="A3" s="2" t="s">
        <v>66</v>
      </c>
      <c r="B3" s="2">
        <f>0.049/L2</f>
        <v>0.14000000000000001</v>
      </c>
      <c r="C3" s="4">
        <f>B3/B$7</f>
        <v>0.73768517403348199</v>
      </c>
      <c r="D3" s="2">
        <f>0.1169/L2</f>
        <v>0.33400000000000002</v>
      </c>
      <c r="E3" s="7">
        <f>D3/D$7</f>
        <v>0.90853980787763866</v>
      </c>
      <c r="F3" s="9">
        <f>0.1291/L2</f>
        <v>0.36885714285714288</v>
      </c>
      <c r="G3" s="7">
        <f>F3/F$7</f>
        <v>0.93485691113428326</v>
      </c>
      <c r="K3" s="2" t="s">
        <v>64</v>
      </c>
      <c r="L3" s="2">
        <v>0.5</v>
      </c>
    </row>
    <row r="4" spans="1:12" x14ac:dyDescent="0.25">
      <c r="A4" s="2" t="s">
        <v>65</v>
      </c>
      <c r="B4" s="2">
        <f>0.00456/L4</f>
        <v>2.2799999999999997E-2</v>
      </c>
      <c r="C4" s="4">
        <f>B4/B$7</f>
        <v>0.12013729977116704</v>
      </c>
      <c r="D4" s="2">
        <f>0.00417/L4</f>
        <v>2.085E-2</v>
      </c>
      <c r="E4" s="4">
        <f>D4/D$7</f>
        <v>5.6715733515714864E-2</v>
      </c>
      <c r="F4" s="2">
        <f>0.00329/L4</f>
        <v>1.6449999999999999E-2</v>
      </c>
      <c r="G4" s="4">
        <f>F4/F$7</f>
        <v>4.1692011354420105E-2</v>
      </c>
      <c r="K4" s="2" t="s">
        <v>65</v>
      </c>
      <c r="L4" s="2">
        <v>0.2</v>
      </c>
    </row>
    <row r="5" spans="1:12" x14ac:dyDescent="0.25">
      <c r="A5" s="2" t="s">
        <v>87</v>
      </c>
      <c r="B5" s="2">
        <f>0.00425/L5</f>
        <v>1.2142857142857144E-2</v>
      </c>
      <c r="C5" s="4">
        <f>B5/B$7</f>
        <v>6.3982897747802012E-2</v>
      </c>
      <c r="D5" s="2">
        <f>0.001814/L5</f>
        <v>5.1828571428571436E-3</v>
      </c>
      <c r="E5" s="4">
        <f>D5/D$7</f>
        <v>1.4098299499487054E-2</v>
      </c>
      <c r="F5" s="2">
        <f>0.0018/L5</f>
        <v>5.1428571428571435E-3</v>
      </c>
      <c r="G5" s="4">
        <f>F5/F$7</f>
        <v>1.3034410844629822E-2</v>
      </c>
      <c r="K5" s="2" t="s">
        <v>87</v>
      </c>
      <c r="L5" s="2">
        <v>0.35</v>
      </c>
    </row>
    <row r="6" spans="1:12" x14ac:dyDescent="0.25">
      <c r="A6" s="2" t="s">
        <v>64</v>
      </c>
      <c r="B6" s="2">
        <f>0.00742/L3</f>
        <v>1.4840000000000001E-2</v>
      </c>
      <c r="C6" s="4">
        <f>B6/B$7</f>
        <v>7.8194628447549083E-2</v>
      </c>
      <c r="D6" s="2">
        <f>0.003795/L3</f>
        <v>7.5900000000000004E-3</v>
      </c>
      <c r="E6" s="4">
        <f>D6/D$7</f>
        <v>2.0646159107159511E-2</v>
      </c>
      <c r="F6" s="2">
        <f>0.002055/L3</f>
        <v>4.1099999999999999E-3</v>
      </c>
      <c r="G6" s="4">
        <f>F6/F$7</f>
        <v>1.0416666666666664E-2</v>
      </c>
    </row>
    <row r="7" spans="1:12" x14ac:dyDescent="0.25">
      <c r="A7" s="2" t="s">
        <v>63</v>
      </c>
      <c r="B7" s="2">
        <f>SUM(B3:B6)</f>
        <v>0.18978285714285714</v>
      </c>
      <c r="C7" s="4"/>
      <c r="D7" s="2">
        <f>SUM(D3:D6)</f>
        <v>0.36762285714285714</v>
      </c>
      <c r="E7" s="4"/>
      <c r="F7" s="2">
        <f>SUM(F3:F6)</f>
        <v>0.39456000000000008</v>
      </c>
      <c r="G7" s="4"/>
    </row>
    <row r="9" spans="1:12" x14ac:dyDescent="0.25">
      <c r="A9" s="2" t="s">
        <v>77</v>
      </c>
      <c r="B9" s="2" t="s">
        <v>86</v>
      </c>
      <c r="C9" s="5" t="s">
        <v>75</v>
      </c>
      <c r="D9" s="12">
        <v>43154</v>
      </c>
    </row>
    <row r="10" spans="1:12" x14ac:dyDescent="0.25">
      <c r="A10" s="2"/>
      <c r="B10" s="2" t="s">
        <v>85</v>
      </c>
      <c r="C10" s="4" t="s">
        <v>67</v>
      </c>
      <c r="D10" s="8" t="s">
        <v>84</v>
      </c>
      <c r="E10" s="4" t="s">
        <v>67</v>
      </c>
      <c r="F10" s="2" t="s">
        <v>83</v>
      </c>
      <c r="G10" s="4" t="s">
        <v>67</v>
      </c>
      <c r="H10" s="2" t="s">
        <v>82</v>
      </c>
      <c r="I10" s="4" t="s">
        <v>67</v>
      </c>
    </row>
    <row r="11" spans="1:12" x14ac:dyDescent="0.25">
      <c r="A11" s="2" t="s">
        <v>66</v>
      </c>
      <c r="B11" s="2">
        <f>0.1013/0.35</f>
        <v>0.28942857142857142</v>
      </c>
      <c r="C11" s="4">
        <f>B11/B$14</f>
        <v>0.86206529740401749</v>
      </c>
      <c r="D11" s="2">
        <f>0.345/0.35</f>
        <v>0.98571428571428565</v>
      </c>
      <c r="E11" s="7">
        <f>D11/D$14</f>
        <v>0.93023130403599052</v>
      </c>
      <c r="F11" s="9">
        <f>0.345/0.35</f>
        <v>0.98571428571428565</v>
      </c>
      <c r="G11" s="7">
        <f>F11/F$14</f>
        <v>0.95413777749507023</v>
      </c>
      <c r="H11" s="9">
        <f>0.359/0.35</f>
        <v>1.0257142857142858</v>
      </c>
      <c r="I11" s="7">
        <f>H11/H$14</f>
        <v>0.96804376960018979</v>
      </c>
    </row>
    <row r="12" spans="1:12" x14ac:dyDescent="0.25">
      <c r="A12" s="2" t="s">
        <v>65</v>
      </c>
      <c r="B12" s="2">
        <f>0.00722/0.2</f>
        <v>3.61E-2</v>
      </c>
      <c r="C12" s="4">
        <f>B12/B$14</f>
        <v>0.10752413655182391</v>
      </c>
      <c r="D12" s="2">
        <f>0.01093/0.2</f>
        <v>5.4649999999999997E-2</v>
      </c>
      <c r="E12" s="4">
        <f>D12/D$14</f>
        <v>5.157391092158959E-2</v>
      </c>
      <c r="F12" s="2">
        <f>0.00664/0.2</f>
        <v>3.32E-2</v>
      </c>
      <c r="G12" s="4">
        <f>F12/F$14</f>
        <v>3.2136466592732511E-2</v>
      </c>
      <c r="H12" s="2">
        <f>0.00412/0.2</f>
        <v>2.06E-2</v>
      </c>
      <c r="I12" s="4">
        <f>H12/H$14</f>
        <v>1.9441770414533058E-2</v>
      </c>
    </row>
    <row r="13" spans="1:12" x14ac:dyDescent="0.25">
      <c r="A13" s="2" t="s">
        <v>64</v>
      </c>
      <c r="B13" s="2">
        <f>0.005105/0.5</f>
        <v>1.021E-2</v>
      </c>
      <c r="C13" s="4">
        <f>B13/B$14</f>
        <v>3.0410566044158507E-2</v>
      </c>
      <c r="D13" s="2">
        <f>0.00964/0.5</f>
        <v>1.9279999999999999E-2</v>
      </c>
      <c r="E13" s="4">
        <f>D13/D$14</f>
        <v>1.8194785042419895E-2</v>
      </c>
      <c r="F13" s="2">
        <f>0.00709/0.5</f>
        <v>1.418E-2</v>
      </c>
      <c r="G13" s="4">
        <f>F13/F$14</f>
        <v>1.3725755912197199E-2</v>
      </c>
      <c r="H13" s="2">
        <f>0.00663/0.5</f>
        <v>1.3259999999999999E-2</v>
      </c>
      <c r="I13" s="4">
        <f>H13/H$14</f>
        <v>1.2514459985277103E-2</v>
      </c>
    </row>
    <row r="14" spans="1:12" x14ac:dyDescent="0.25">
      <c r="A14" s="2" t="s">
        <v>63</v>
      </c>
      <c r="B14" s="2">
        <f>SUM(B11:B13)</f>
        <v>0.33573857142857144</v>
      </c>
      <c r="C14" s="4"/>
      <c r="D14" s="2">
        <f>SUM(D11:D13)</f>
        <v>1.0596442857142856</v>
      </c>
      <c r="E14" s="4"/>
      <c r="F14" s="2">
        <f>SUM(F11:F13)</f>
        <v>1.0330942857142857</v>
      </c>
      <c r="G14" s="4"/>
      <c r="H14" s="2">
        <f>SUM(H11:H13)</f>
        <v>1.0595742857142858</v>
      </c>
      <c r="I14" s="4"/>
    </row>
    <row r="16" spans="1:12" x14ac:dyDescent="0.25">
      <c r="A16" s="2" t="s">
        <v>77</v>
      </c>
      <c r="B16" s="2" t="s">
        <v>81</v>
      </c>
      <c r="C16" s="4" t="s">
        <v>75</v>
      </c>
      <c r="D16" s="13">
        <v>43159</v>
      </c>
    </row>
    <row r="17" spans="1:13" x14ac:dyDescent="0.25">
      <c r="A17" s="2"/>
      <c r="B17" s="2" t="s">
        <v>80</v>
      </c>
      <c r="C17" s="4" t="s">
        <v>73</v>
      </c>
      <c r="D17" s="3" t="s">
        <v>79</v>
      </c>
      <c r="E17" s="4" t="s">
        <v>67</v>
      </c>
      <c r="F17" s="2" t="s">
        <v>78</v>
      </c>
      <c r="G17" s="4" t="s">
        <v>67</v>
      </c>
    </row>
    <row r="18" spans="1:13" x14ac:dyDescent="0.25">
      <c r="A18" s="2" t="s">
        <v>66</v>
      </c>
      <c r="B18" s="2">
        <f>0.1261/0.35</f>
        <v>0.36028571428571426</v>
      </c>
      <c r="C18" s="4">
        <f>B18/B$21</f>
        <v>0.78695808870908612</v>
      </c>
      <c r="D18" s="2">
        <f>0.369/0.35</f>
        <v>1.0542857142857143</v>
      </c>
      <c r="E18" s="7">
        <f>D18/D$21</f>
        <v>0.95391849813417173</v>
      </c>
      <c r="F18" s="9">
        <f>0.404/0.35</f>
        <v>1.1542857142857144</v>
      </c>
      <c r="G18" s="7">
        <f>F18/F$21</f>
        <v>0.96401296645163304</v>
      </c>
    </row>
    <row r="19" spans="1:13" x14ac:dyDescent="0.25">
      <c r="A19" s="2" t="s">
        <v>65</v>
      </c>
      <c r="B19" s="2">
        <f>0.012267/0.2</f>
        <v>6.1335000000000001E-2</v>
      </c>
      <c r="C19" s="4">
        <f>B19/B$21</f>
        <v>0.13397165765138883</v>
      </c>
      <c r="D19" s="2">
        <f>0.00703/0.2</f>
        <v>3.5149999999999994E-2</v>
      </c>
      <c r="E19" s="4">
        <f>D19/D$21</f>
        <v>3.1803746133592534E-2</v>
      </c>
      <c r="F19" s="2">
        <f>0.005956/0.2</f>
        <v>2.9780000000000001E-2</v>
      </c>
      <c r="G19" s="4">
        <f>F19/F$21</f>
        <v>2.4871057300310324E-2</v>
      </c>
    </row>
    <row r="20" spans="1:13" x14ac:dyDescent="0.25">
      <c r="A20" s="2" t="s">
        <v>64</v>
      </c>
      <c r="B20" s="2">
        <f>0.0181/0.5</f>
        <v>3.6200000000000003E-2</v>
      </c>
      <c r="C20" s="4">
        <f>B20/B$21</f>
        <v>7.9070253639525148E-2</v>
      </c>
      <c r="D20" s="2">
        <f>0.00789/0.5</f>
        <v>1.5779999999999999E-2</v>
      </c>
      <c r="E20" s="4">
        <f>D20/D$21</f>
        <v>1.4277755732235853E-2</v>
      </c>
      <c r="F20" s="2">
        <f>0.006655/0.5</f>
        <v>1.3310000000000001E-2</v>
      </c>
      <c r="G20" s="4">
        <f>F20/F$21</f>
        <v>1.1115976248056764E-2</v>
      </c>
    </row>
    <row r="21" spans="1:13" x14ac:dyDescent="0.25">
      <c r="A21" s="2" t="s">
        <v>63</v>
      </c>
      <c r="B21" s="2">
        <f>SUM(B18:B20)</f>
        <v>0.45782071428571425</v>
      </c>
      <c r="C21" s="4"/>
      <c r="D21" s="2">
        <f>SUM(D18:D20)</f>
        <v>1.1052157142857142</v>
      </c>
      <c r="E21" s="4"/>
      <c r="F21" s="2">
        <f>SUM(F18:F20)</f>
        <v>1.1973757142857142</v>
      </c>
      <c r="G21" s="4"/>
    </row>
    <row r="23" spans="1:13" x14ac:dyDescent="0.25">
      <c r="A23" s="2" t="s">
        <v>77</v>
      </c>
      <c r="B23" s="2" t="s">
        <v>76</v>
      </c>
      <c r="C23" s="4" t="s">
        <v>75</v>
      </c>
      <c r="D23" s="13">
        <v>43166</v>
      </c>
      <c r="E23" s="6"/>
      <c r="J23" s="12">
        <v>43173</v>
      </c>
    </row>
    <row r="24" spans="1:13" x14ac:dyDescent="0.25">
      <c r="A24" s="2"/>
      <c r="B24" s="2" t="s">
        <v>74</v>
      </c>
      <c r="C24" s="4" t="s">
        <v>73</v>
      </c>
      <c r="D24" s="2" t="s">
        <v>72</v>
      </c>
      <c r="E24" s="6" t="s">
        <v>67</v>
      </c>
      <c r="F24" s="2" t="s">
        <v>71</v>
      </c>
      <c r="G24" s="4" t="s">
        <v>67</v>
      </c>
      <c r="H24" s="2" t="s">
        <v>70</v>
      </c>
      <c r="I24" s="4" t="s">
        <v>67</v>
      </c>
      <c r="J24" s="11" t="s">
        <v>69</v>
      </c>
      <c r="K24" s="2" t="s">
        <v>67</v>
      </c>
      <c r="L24" s="10" t="s">
        <v>68</v>
      </c>
      <c r="M24" s="2" t="s">
        <v>67</v>
      </c>
    </row>
    <row r="25" spans="1:13" x14ac:dyDescent="0.25">
      <c r="A25" s="2" t="s">
        <v>66</v>
      </c>
      <c r="B25" s="2">
        <f>0.2244/0.35</f>
        <v>0.64114285714285713</v>
      </c>
      <c r="C25" s="4">
        <f>B25/B$28</f>
        <v>0.94749309119621006</v>
      </c>
      <c r="D25" s="2">
        <f>0.2444/0.35</f>
        <v>0.6982857142857144</v>
      </c>
      <c r="E25" s="4">
        <f>D25/D$28</f>
        <v>0.95368099401967099</v>
      </c>
      <c r="F25" s="9">
        <f>0.2444/0.35</f>
        <v>0.6982857142857144</v>
      </c>
      <c r="G25" s="7">
        <f>F25/F$28</f>
        <v>0.96913095838090102</v>
      </c>
      <c r="H25" s="8">
        <f>0.1788/0.35</f>
        <v>0.5108571428571429</v>
      </c>
      <c r="I25" s="7">
        <f>H25/H$28</f>
        <v>0.9248004799859314</v>
      </c>
      <c r="J25" s="2">
        <f>0.2409/0.35</f>
        <v>0.68828571428571439</v>
      </c>
      <c r="K25" s="6">
        <f>J25/J$28</f>
        <v>0.94145693293731425</v>
      </c>
      <c r="L25" s="2">
        <f>0.34/0.35</f>
        <v>0.97142857142857153</v>
      </c>
      <c r="M25" s="4">
        <f>L25/L$28</f>
        <v>0.98121266341519731</v>
      </c>
    </row>
    <row r="26" spans="1:13" x14ac:dyDescent="0.25">
      <c r="A26" s="2" t="s">
        <v>65</v>
      </c>
      <c r="B26" s="2">
        <f>0.00369/0.2</f>
        <v>1.8450000000000001E-2</v>
      </c>
      <c r="C26" s="4">
        <f>B26/B$28</f>
        <v>2.72657604117626E-2</v>
      </c>
      <c r="D26" s="2">
        <f>0.00479/0.2</f>
        <v>2.3949999999999999E-2</v>
      </c>
      <c r="E26" s="4">
        <f>D26/D$28</f>
        <v>3.270961919954947E-2</v>
      </c>
      <c r="F26" s="2">
        <f>0.00302/0.2</f>
        <v>1.5100000000000001E-2</v>
      </c>
      <c r="G26" s="4">
        <f>F26/F$28</f>
        <v>2.0956862172843951E-2</v>
      </c>
      <c r="H26" s="3">
        <f>0.0064/0.2</f>
        <v>3.2000000000000001E-2</v>
      </c>
      <c r="I26" s="4">
        <f>H26/H$28</f>
        <v>5.7929336553928588E-2</v>
      </c>
      <c r="J26" s="2">
        <f>0.0066/0.2</f>
        <v>3.2999999999999995E-2</v>
      </c>
      <c r="K26" s="5">
        <f>J26/J$28</f>
        <v>4.5138346099734231E-2</v>
      </c>
      <c r="L26" s="2">
        <f>0.00212/0.2</f>
        <v>1.0599999999999998E-2</v>
      </c>
      <c r="M26" s="4">
        <f>L26/L$28</f>
        <v>1.0706761709618767E-2</v>
      </c>
    </row>
    <row r="27" spans="1:13" x14ac:dyDescent="0.25">
      <c r="A27" s="2" t="s">
        <v>64</v>
      </c>
      <c r="B27" s="2">
        <f>0.00854/0.5</f>
        <v>1.7080000000000001E-2</v>
      </c>
      <c r="C27" s="4">
        <f>B27/B$28</f>
        <v>2.5241148392027381E-2</v>
      </c>
      <c r="D27" s="2">
        <f>0.0049824/0.5</f>
        <v>9.9647999999999994E-3</v>
      </c>
      <c r="E27" s="4">
        <f>D27/D$28</f>
        <v>1.3609386780779564E-2</v>
      </c>
      <c r="F27" s="2">
        <f>0.003571/0.5</f>
        <v>7.1419999999999999E-3</v>
      </c>
      <c r="G27" s="4">
        <f>F27/F$28</f>
        <v>9.9121794462550643E-3</v>
      </c>
      <c r="H27" s="3">
        <f>0.00477/0.5</f>
        <v>9.5399999999999999E-3</v>
      </c>
      <c r="I27" s="4">
        <f>H27/H$28</f>
        <v>1.7270183460139959E-2</v>
      </c>
      <c r="J27" s="2">
        <f>0.0049/0.5</f>
        <v>9.7999999999999997E-3</v>
      </c>
      <c r="K27" s="5">
        <f>J27/J$28</f>
        <v>1.340472096295138E-2</v>
      </c>
      <c r="L27" s="2">
        <f>0.004/0.5</f>
        <v>8.0000000000000002E-3</v>
      </c>
      <c r="M27" s="4">
        <f>L27/L$28</f>
        <v>8.0805748751839775E-3</v>
      </c>
    </row>
    <row r="28" spans="1:13" x14ac:dyDescent="0.25">
      <c r="A28" s="2" t="s">
        <v>63</v>
      </c>
      <c r="B28" s="2">
        <f>SUM(B25:B27)</f>
        <v>0.67667285714285708</v>
      </c>
      <c r="C28" s="4"/>
      <c r="D28" s="2">
        <f>SUM(D25:D27)</f>
        <v>0.73220051428571442</v>
      </c>
      <c r="E28" s="4"/>
      <c r="F28" s="2">
        <f>SUM(F25:F27)</f>
        <v>0.72052771428571438</v>
      </c>
      <c r="G28" s="4"/>
      <c r="H28" s="3">
        <f>SUM(H25:H27)</f>
        <v>0.55239714285714292</v>
      </c>
      <c r="I28" s="4"/>
      <c r="J28" s="2">
        <f>SUM(J25:J27)</f>
        <v>0.73108571428571445</v>
      </c>
      <c r="K28" s="3"/>
      <c r="L28" s="2">
        <f>SUM(L25:L27)</f>
        <v>0.99002857142857148</v>
      </c>
      <c r="M28" s="2"/>
    </row>
    <row r="30" spans="1:13" x14ac:dyDescent="0.25">
      <c r="A30" t="s">
        <v>62</v>
      </c>
    </row>
    <row r="31" spans="1:13" x14ac:dyDescent="0.25">
      <c r="A31" t="s">
        <v>61</v>
      </c>
    </row>
    <row r="32" spans="1:13" x14ac:dyDescent="0.25">
      <c r="A32" t="s">
        <v>60</v>
      </c>
    </row>
    <row r="33" spans="1:1" x14ac:dyDescent="0.25">
      <c r="A33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88F2FE-1F04-4F24-B36A-6807E4D9AB46}">
  <dimension ref="A1:D24"/>
  <sheetViews>
    <sheetView workbookViewId="0">
      <selection activeCell="D20" sqref="D20"/>
    </sheetView>
  </sheetViews>
  <sheetFormatPr defaultRowHeight="15" x14ac:dyDescent="0.25"/>
  <cols>
    <col min="1" max="1" width="10.85546875" bestFit="1" customWidth="1"/>
    <col min="4" max="4" width="34.5703125" bestFit="1" customWidth="1"/>
  </cols>
  <sheetData>
    <row r="1" spans="1:4" x14ac:dyDescent="0.25">
      <c r="A1" s="2" t="s">
        <v>75</v>
      </c>
      <c r="B1" s="2" t="s">
        <v>111</v>
      </c>
      <c r="C1" s="2" t="s">
        <v>110</v>
      </c>
      <c r="D1" s="2" t="s">
        <v>109</v>
      </c>
    </row>
    <row r="2" spans="1:4" x14ac:dyDescent="0.25">
      <c r="A2" s="12">
        <v>43152</v>
      </c>
      <c r="B2" s="2">
        <v>275</v>
      </c>
      <c r="C2" s="2">
        <v>42</v>
      </c>
      <c r="D2" s="2" t="s">
        <v>94</v>
      </c>
    </row>
    <row r="3" spans="1:4" x14ac:dyDescent="0.25">
      <c r="A3" s="2"/>
      <c r="B3" s="2">
        <v>276</v>
      </c>
      <c r="C3" s="2">
        <v>42</v>
      </c>
      <c r="D3" s="2" t="s">
        <v>108</v>
      </c>
    </row>
    <row r="4" spans="1:4" x14ac:dyDescent="0.25">
      <c r="A4" s="2"/>
      <c r="B4" s="2">
        <v>277</v>
      </c>
      <c r="C4" s="2">
        <v>42</v>
      </c>
      <c r="D4" s="2" t="s">
        <v>107</v>
      </c>
    </row>
    <row r="5" spans="1:4" x14ac:dyDescent="0.25">
      <c r="A5" s="2"/>
      <c r="B5" s="2">
        <v>278</v>
      </c>
      <c r="C5" s="2">
        <v>42</v>
      </c>
      <c r="D5" s="2" t="s">
        <v>106</v>
      </c>
    </row>
    <row r="6" spans="1:4" x14ac:dyDescent="0.25">
      <c r="A6" s="12">
        <v>43154</v>
      </c>
      <c r="B6" s="2">
        <v>279</v>
      </c>
      <c r="C6" s="2">
        <v>42</v>
      </c>
      <c r="D6" s="2" t="s">
        <v>105</v>
      </c>
    </row>
    <row r="7" spans="1:4" x14ac:dyDescent="0.25">
      <c r="A7" s="2"/>
      <c r="B7" s="2">
        <v>280</v>
      </c>
      <c r="C7" s="2">
        <v>42</v>
      </c>
      <c r="D7" s="2" t="s">
        <v>104</v>
      </c>
    </row>
    <row r="8" spans="1:4" x14ac:dyDescent="0.25">
      <c r="A8" s="2"/>
      <c r="B8" s="2">
        <v>281</v>
      </c>
      <c r="C8" s="2">
        <v>42</v>
      </c>
      <c r="D8" s="2" t="s">
        <v>104</v>
      </c>
    </row>
    <row r="9" spans="1:4" x14ac:dyDescent="0.25">
      <c r="A9" s="2"/>
      <c r="B9" s="2">
        <v>282</v>
      </c>
      <c r="C9" s="2">
        <v>42</v>
      </c>
      <c r="D9" s="2" t="s">
        <v>103</v>
      </c>
    </row>
    <row r="10" spans="1:4" x14ac:dyDescent="0.25">
      <c r="A10" s="2"/>
      <c r="B10" s="2">
        <v>283</v>
      </c>
      <c r="C10" s="2">
        <v>42</v>
      </c>
      <c r="D10" s="2" t="s">
        <v>102</v>
      </c>
    </row>
    <row r="11" spans="1:4" x14ac:dyDescent="0.25">
      <c r="A11" s="12">
        <v>43159</v>
      </c>
      <c r="B11" s="2">
        <v>284</v>
      </c>
      <c r="C11" s="2">
        <v>43</v>
      </c>
      <c r="D11" s="2" t="s">
        <v>94</v>
      </c>
    </row>
    <row r="12" spans="1:4" x14ac:dyDescent="0.25">
      <c r="A12" s="2"/>
      <c r="B12" s="2">
        <v>285</v>
      </c>
      <c r="C12" s="2">
        <v>43</v>
      </c>
      <c r="D12" s="2" t="s">
        <v>101</v>
      </c>
    </row>
    <row r="13" spans="1:4" x14ac:dyDescent="0.25">
      <c r="A13" s="14"/>
      <c r="B13" s="14">
        <v>286</v>
      </c>
      <c r="C13" s="14">
        <v>43</v>
      </c>
      <c r="D13" s="14" t="s">
        <v>101</v>
      </c>
    </row>
    <row r="14" spans="1:4" x14ac:dyDescent="0.25">
      <c r="A14" s="12">
        <v>43166</v>
      </c>
      <c r="B14" s="2">
        <v>287</v>
      </c>
      <c r="C14" s="2">
        <v>44</v>
      </c>
      <c r="D14" s="2" t="s">
        <v>94</v>
      </c>
    </row>
    <row r="15" spans="1:4" x14ac:dyDescent="0.25">
      <c r="A15" s="2"/>
      <c r="B15" s="2">
        <v>288</v>
      </c>
      <c r="C15" s="2">
        <v>44</v>
      </c>
      <c r="D15" s="2" t="s">
        <v>100</v>
      </c>
    </row>
    <row r="16" spans="1:4" x14ac:dyDescent="0.25">
      <c r="A16" s="14"/>
      <c r="B16" s="14">
        <v>289</v>
      </c>
      <c r="C16" s="14">
        <v>44</v>
      </c>
      <c r="D16" s="14" t="s">
        <v>99</v>
      </c>
    </row>
    <row r="17" spans="1:4" x14ac:dyDescent="0.25">
      <c r="A17" s="2"/>
      <c r="B17" s="2">
        <v>290</v>
      </c>
      <c r="C17" s="2">
        <v>44</v>
      </c>
      <c r="D17" s="2" t="s">
        <v>98</v>
      </c>
    </row>
    <row r="18" spans="1:4" x14ac:dyDescent="0.25">
      <c r="A18" s="12">
        <v>43173</v>
      </c>
      <c r="B18" s="2">
        <v>291</v>
      </c>
      <c r="C18" s="2">
        <v>44</v>
      </c>
      <c r="D18" s="2" t="s">
        <v>97</v>
      </c>
    </row>
    <row r="19" spans="1:4" x14ac:dyDescent="0.25">
      <c r="A19" s="2"/>
      <c r="B19" s="2">
        <v>292</v>
      </c>
      <c r="C19" s="2">
        <v>44</v>
      </c>
      <c r="D19" s="2" t="s">
        <v>96</v>
      </c>
    </row>
    <row r="20" spans="1:4" x14ac:dyDescent="0.25">
      <c r="A20" s="12">
        <v>43180</v>
      </c>
      <c r="B20" s="2">
        <v>293</v>
      </c>
      <c r="C20" s="2">
        <v>45</v>
      </c>
      <c r="D20" s="2" t="s">
        <v>94</v>
      </c>
    </row>
    <row r="21" spans="1:4" x14ac:dyDescent="0.25">
      <c r="A21" s="2"/>
      <c r="B21" s="2">
        <v>294</v>
      </c>
      <c r="C21" s="2">
        <v>45</v>
      </c>
      <c r="D21" s="2" t="s">
        <v>95</v>
      </c>
    </row>
    <row r="22" spans="1:4" x14ac:dyDescent="0.25">
      <c r="A22" s="12">
        <v>43187</v>
      </c>
      <c r="B22" s="2">
        <v>295</v>
      </c>
      <c r="C22" s="2">
        <v>46</v>
      </c>
      <c r="D22" s="2" t="s">
        <v>94</v>
      </c>
    </row>
    <row r="23" spans="1:4" x14ac:dyDescent="0.25">
      <c r="A23" s="2"/>
      <c r="B23" s="2">
        <v>296</v>
      </c>
      <c r="C23" s="2">
        <v>46</v>
      </c>
      <c r="D23" s="2" t="s">
        <v>93</v>
      </c>
    </row>
    <row r="24" spans="1:4" x14ac:dyDescent="0.25">
      <c r="A24" s="2"/>
      <c r="B24" s="2">
        <v>297</v>
      </c>
      <c r="C24" s="2">
        <v>46</v>
      </c>
      <c r="D24" s="2" t="s">
        <v>92</v>
      </c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Sample name and LEED patterns</vt:lpstr>
      <vt:lpstr>AES analysis</vt:lpstr>
      <vt:lpstr>Flashing procedures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Nathan Lewis</dc:creator>
  <cp:keywords/>
  <dc:description/>
  <cp:lastModifiedBy>Nathan Lewis</cp:lastModifiedBy>
  <cp:revision/>
  <dcterms:created xsi:type="dcterms:W3CDTF">2018-02-06T16:30:27Z</dcterms:created>
  <dcterms:modified xsi:type="dcterms:W3CDTF">2019-02-13T12:07:50Z</dcterms:modified>
  <cp:category/>
  <cp:contentStatus/>
</cp:coreProperties>
</file>