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owers\Google Drive\Amy Hait LCA\Excel Files\"/>
    </mc:Choice>
  </mc:AlternateContent>
  <bookViews>
    <workbookView xWindow="0" yWindow="0" windowWidth="19200" windowHeight="6640" tabRatio="661"/>
  </bookViews>
  <sheets>
    <sheet name="Overview" sheetId="18" r:id="rId1"/>
    <sheet name="Functional unit" sheetId="5" r:id="rId2"/>
    <sheet name="normalization factors" sheetId="21" r:id="rId3"/>
    <sheet name="Tamp.-Assumptions" sheetId="23" r:id="rId4"/>
    <sheet name="Tamp-LCI" sheetId="1" r:id="rId5"/>
    <sheet name="Tamp-LCIA" sheetId="17" r:id="rId6"/>
    <sheet name="Pad -assumptions" sheetId="22" r:id="rId7"/>
    <sheet name="Pad-LCI" sheetId="6" r:id="rId8"/>
    <sheet name="Pad-LCIA" sheetId="19" r:id="rId9"/>
    <sheet name="Cup - assumptions" sheetId="25" r:id="rId10"/>
    <sheet name="Cup-LCI" sheetId="7" r:id="rId11"/>
    <sheet name="Cup-LCIA" sheetId="2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5" l="1"/>
  <c r="C140" i="25"/>
  <c r="C82" i="25"/>
  <c r="C134" i="25" s="1"/>
  <c r="C81" i="25"/>
  <c r="C36" i="25"/>
  <c r="C10" i="23"/>
  <c r="C38" i="23" s="1"/>
  <c r="C12" i="23"/>
  <c r="C24" i="23"/>
  <c r="C29" i="23"/>
  <c r="C34" i="23"/>
  <c r="C83" i="23"/>
  <c r="C84" i="23"/>
  <c r="C136" i="23" s="1"/>
  <c r="C89" i="23"/>
  <c r="C90" i="23"/>
  <c r="C91" i="23"/>
  <c r="C93" i="23" s="1"/>
  <c r="C102" i="23"/>
  <c r="C117" i="23"/>
  <c r="C125" i="23"/>
  <c r="C126" i="23"/>
  <c r="C132" i="23"/>
  <c r="C134" i="23"/>
  <c r="C9" i="22"/>
  <c r="C11" i="22"/>
  <c r="C44" i="22" s="1"/>
  <c r="C50" i="22" s="1"/>
  <c r="C53" i="22" s="1"/>
  <c r="C62" i="22"/>
  <c r="C102" i="22" s="1"/>
  <c r="C64" i="22"/>
  <c r="D102" i="22"/>
  <c r="D105" i="22"/>
  <c r="C105" i="22" s="1"/>
  <c r="D106" i="22"/>
  <c r="C106" i="22" s="1"/>
  <c r="D109" i="22"/>
  <c r="C109" i="22" s="1"/>
  <c r="D116" i="22"/>
  <c r="D120" i="22"/>
  <c r="C120" i="22" s="1"/>
  <c r="D123" i="22"/>
  <c r="D124" i="22"/>
  <c r="D128" i="22"/>
  <c r="D131" i="22"/>
  <c r="C131" i="22" s="1"/>
  <c r="D137" i="22"/>
  <c r="C137" i="22" s="1"/>
  <c r="D143" i="22"/>
  <c r="C143" i="22" s="1"/>
  <c r="D144" i="22"/>
  <c r="D146" i="22"/>
  <c r="C146" i="22" s="1"/>
  <c r="C136" i="25" l="1"/>
  <c r="C72" i="25"/>
  <c r="C120" i="25"/>
  <c r="C78" i="25"/>
  <c r="C123" i="25"/>
  <c r="C121" i="25"/>
  <c r="C10" i="25"/>
  <c r="C124" i="25"/>
  <c r="C88" i="25"/>
  <c r="C130" i="25"/>
  <c r="C87" i="25"/>
  <c r="C32" i="25"/>
  <c r="C89" i="25"/>
  <c r="C132" i="25"/>
  <c r="C100" i="23"/>
  <c r="C112" i="23"/>
  <c r="C142" i="23"/>
  <c r="C109" i="23"/>
  <c r="C80" i="23"/>
  <c r="C138" i="23"/>
  <c r="C121" i="23"/>
  <c r="C108" i="23"/>
  <c r="C94" i="23"/>
  <c r="C74" i="23"/>
  <c r="C116" i="23"/>
  <c r="C115" i="23"/>
  <c r="C99" i="23"/>
  <c r="C97" i="23"/>
  <c r="C123" i="23"/>
  <c r="C111" i="23"/>
  <c r="C96" i="23"/>
  <c r="C122" i="23"/>
  <c r="C95" i="23"/>
  <c r="C120" i="23"/>
  <c r="C104" i="23"/>
  <c r="C128" i="22"/>
  <c r="C123" i="22"/>
  <c r="C124" i="22"/>
  <c r="C54" i="22"/>
  <c r="C55" i="22"/>
  <c r="C144" i="22"/>
  <c r="C116" i="22"/>
  <c r="C118" i="25" l="1"/>
  <c r="C102" i="25"/>
  <c r="C91" i="25"/>
  <c r="C115" i="25"/>
  <c r="C100" i="25"/>
  <c r="C109" i="25"/>
  <c r="C94" i="25"/>
  <c r="C106" i="25"/>
  <c r="C114" i="25"/>
  <c r="C98" i="25"/>
  <c r="C113" i="25"/>
  <c r="C97" i="25"/>
  <c r="C93" i="25"/>
  <c r="C92" i="25"/>
  <c r="C110" i="25"/>
  <c r="C95" i="25"/>
  <c r="C107" i="25"/>
  <c r="C119" i="25"/>
  <c r="C27" i="25"/>
  <c r="C22" i="25"/>
  <c r="Q30" i="6" l="1"/>
  <c r="U30" i="6" s="1"/>
  <c r="O32" i="1" l="1"/>
  <c r="P32" i="1" s="1"/>
  <c r="F29" i="18" l="1"/>
  <c r="B29" i="18"/>
  <c r="N20" i="17" l="1"/>
  <c r="J13" i="17"/>
  <c r="J13" i="19"/>
  <c r="K12" i="20"/>
  <c r="L12" i="20"/>
  <c r="M12" i="20"/>
  <c r="N12" i="20"/>
  <c r="K13" i="20"/>
  <c r="L13" i="20"/>
  <c r="M13" i="20"/>
  <c r="N13" i="20"/>
  <c r="K14" i="20"/>
  <c r="L14" i="20"/>
  <c r="M14" i="20"/>
  <c r="N14" i="20"/>
  <c r="K15" i="20"/>
  <c r="L15" i="20"/>
  <c r="M15" i="20"/>
  <c r="N15" i="20"/>
  <c r="K16" i="20"/>
  <c r="L16" i="20"/>
  <c r="M16" i="20"/>
  <c r="N16" i="20"/>
  <c r="K17" i="20"/>
  <c r="L17" i="20"/>
  <c r="M17" i="20"/>
  <c r="N17" i="20"/>
  <c r="K18" i="20"/>
  <c r="L18" i="20"/>
  <c r="M18" i="20"/>
  <c r="N18" i="20"/>
  <c r="K19" i="20"/>
  <c r="L19" i="20"/>
  <c r="M19" i="20"/>
  <c r="N19" i="20"/>
  <c r="J13" i="20"/>
  <c r="J14" i="20"/>
  <c r="J15" i="20"/>
  <c r="J16" i="20"/>
  <c r="J17" i="20"/>
  <c r="J18" i="20"/>
  <c r="J19" i="20"/>
  <c r="J12" i="20"/>
  <c r="I13" i="20"/>
  <c r="J14" i="17"/>
  <c r="F19" i="20"/>
  <c r="D19" i="20"/>
  <c r="C19" i="20"/>
  <c r="F18" i="20"/>
  <c r="E18" i="20"/>
  <c r="D18" i="20"/>
  <c r="C18" i="20"/>
  <c r="G18" i="20" s="1"/>
  <c r="F17" i="20"/>
  <c r="E17" i="20"/>
  <c r="D17" i="20"/>
  <c r="C17" i="20"/>
  <c r="G17" i="20" s="1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M19" i="17"/>
  <c r="L19" i="17"/>
  <c r="K19" i="17"/>
  <c r="M17" i="17"/>
  <c r="J17" i="17"/>
  <c r="L15" i="17"/>
  <c r="J15" i="17"/>
  <c r="I14" i="17"/>
  <c r="N13" i="17"/>
  <c r="M13" i="17"/>
  <c r="L13" i="17"/>
  <c r="K13" i="17"/>
  <c r="F20" i="17"/>
  <c r="M20" i="17" s="1"/>
  <c r="E20" i="17"/>
  <c r="L20" i="17" s="1"/>
  <c r="D20" i="17"/>
  <c r="K20" i="17" s="1"/>
  <c r="C20" i="17"/>
  <c r="G20" i="17" s="1"/>
  <c r="F19" i="17"/>
  <c r="E19" i="17"/>
  <c r="D19" i="17"/>
  <c r="C19" i="17"/>
  <c r="F18" i="17"/>
  <c r="M18" i="17" s="1"/>
  <c r="E18" i="17"/>
  <c r="L18" i="17" s="1"/>
  <c r="D18" i="17"/>
  <c r="K18" i="17" s="1"/>
  <c r="C18" i="17"/>
  <c r="G18" i="17" s="1"/>
  <c r="N18" i="17" s="1"/>
  <c r="F17" i="17"/>
  <c r="E17" i="17"/>
  <c r="L17" i="17" s="1"/>
  <c r="D17" i="17"/>
  <c r="K17" i="17" s="1"/>
  <c r="C17" i="17"/>
  <c r="F16" i="17"/>
  <c r="M16" i="17" s="1"/>
  <c r="E16" i="17"/>
  <c r="D16" i="17"/>
  <c r="K16" i="17" s="1"/>
  <c r="C16" i="17"/>
  <c r="J16" i="17" s="1"/>
  <c r="F15" i="17"/>
  <c r="M15" i="17" s="1"/>
  <c r="E15" i="17"/>
  <c r="D15" i="17"/>
  <c r="G15" i="17" s="1"/>
  <c r="N15" i="17" s="1"/>
  <c r="C15" i="17"/>
  <c r="F14" i="17"/>
  <c r="M14" i="17" s="1"/>
  <c r="E14" i="17"/>
  <c r="L14" i="17" s="1"/>
  <c r="D14" i="17"/>
  <c r="G14" i="17" s="1"/>
  <c r="C14" i="17"/>
  <c r="F13" i="17"/>
  <c r="E13" i="17"/>
  <c r="D13" i="17"/>
  <c r="G13" i="17" s="1"/>
  <c r="C13" i="17"/>
  <c r="K20" i="19"/>
  <c r="F20" i="19"/>
  <c r="M20" i="19" s="1"/>
  <c r="E20" i="19"/>
  <c r="L20" i="19" s="1"/>
  <c r="D20" i="19"/>
  <c r="C20" i="19"/>
  <c r="J20" i="19" s="1"/>
  <c r="M19" i="19"/>
  <c r="K19" i="19"/>
  <c r="J19" i="19"/>
  <c r="G19" i="19"/>
  <c r="N19" i="19" s="1"/>
  <c r="F19" i="19"/>
  <c r="E19" i="19"/>
  <c r="L19" i="19" s="1"/>
  <c r="D19" i="19"/>
  <c r="C19" i="19"/>
  <c r="M18" i="19"/>
  <c r="L18" i="19"/>
  <c r="K18" i="19"/>
  <c r="F18" i="19"/>
  <c r="E18" i="19"/>
  <c r="D18" i="19"/>
  <c r="C18" i="19"/>
  <c r="J18" i="19" s="1"/>
  <c r="M17" i="19"/>
  <c r="F17" i="19"/>
  <c r="E17" i="19"/>
  <c r="L17" i="19" s="1"/>
  <c r="D17" i="19"/>
  <c r="K17" i="19" s="1"/>
  <c r="C17" i="19"/>
  <c r="J17" i="19" s="1"/>
  <c r="K16" i="19"/>
  <c r="F16" i="19"/>
  <c r="M16" i="19" s="1"/>
  <c r="E16" i="19"/>
  <c r="L16" i="19" s="1"/>
  <c r="D16" i="19"/>
  <c r="C16" i="19"/>
  <c r="J16" i="19" s="1"/>
  <c r="M15" i="19"/>
  <c r="K15" i="19"/>
  <c r="J15" i="19"/>
  <c r="G15" i="19"/>
  <c r="N15" i="19" s="1"/>
  <c r="F15" i="19"/>
  <c r="E15" i="19"/>
  <c r="L15" i="19" s="1"/>
  <c r="D15" i="19"/>
  <c r="C15" i="19"/>
  <c r="M14" i="19"/>
  <c r="L14" i="19"/>
  <c r="K14" i="19"/>
  <c r="I14" i="19"/>
  <c r="F14" i="19"/>
  <c r="E14" i="19"/>
  <c r="D14" i="19"/>
  <c r="C14" i="19"/>
  <c r="J14" i="19" s="1"/>
  <c r="F13" i="19"/>
  <c r="M13" i="19" s="1"/>
  <c r="E13" i="19"/>
  <c r="L13" i="19" s="1"/>
  <c r="D13" i="19"/>
  <c r="K13" i="19" s="1"/>
  <c r="C13" i="19"/>
  <c r="G13" i="19" s="1"/>
  <c r="N13" i="19" s="1"/>
  <c r="B8" i="21"/>
  <c r="G13" i="20" l="1"/>
  <c r="G15" i="20"/>
  <c r="G19" i="20"/>
  <c r="G12" i="20"/>
  <c r="G14" i="20"/>
  <c r="G16" i="20"/>
  <c r="K14" i="17"/>
  <c r="J18" i="17"/>
  <c r="G17" i="17"/>
  <c r="N17" i="17" s="1"/>
  <c r="G19" i="17"/>
  <c r="N19" i="17" s="1"/>
  <c r="K15" i="17"/>
  <c r="J20" i="17"/>
  <c r="G16" i="17"/>
  <c r="N16" i="17" s="1"/>
  <c r="L16" i="17"/>
  <c r="J19" i="17"/>
  <c r="N14" i="17"/>
  <c r="G16" i="19"/>
  <c r="N16" i="19" s="1"/>
  <c r="G20" i="19"/>
  <c r="N20" i="19" s="1"/>
  <c r="G17" i="19"/>
  <c r="N17" i="19" s="1"/>
  <c r="G14" i="19"/>
  <c r="N14" i="19" s="1"/>
  <c r="G18" i="19"/>
  <c r="N18" i="19" s="1"/>
  <c r="N27" i="7" l="1"/>
  <c r="H28" i="7"/>
  <c r="S29" i="6" l="1"/>
  <c r="R29" i="6"/>
  <c r="S28" i="6"/>
  <c r="S27" i="6"/>
  <c r="S26" i="6"/>
  <c r="M28" i="1"/>
  <c r="M29" i="1"/>
  <c r="M30" i="1"/>
  <c r="M31" i="1"/>
  <c r="M27" i="1"/>
  <c r="S25" i="6"/>
  <c r="R25" i="6"/>
  <c r="M25" i="7"/>
  <c r="N25" i="7"/>
  <c r="O29" i="7" l="1"/>
  <c r="N29" i="7"/>
  <c r="M29" i="7"/>
  <c r="O28" i="7"/>
  <c r="N28" i="7"/>
  <c r="M28" i="7"/>
  <c r="O27" i="7"/>
  <c r="M27" i="7"/>
  <c r="O26" i="7"/>
  <c r="N26" i="7"/>
  <c r="M26" i="7"/>
  <c r="O25" i="7"/>
  <c r="H25" i="7"/>
  <c r="C25" i="7"/>
  <c r="B25" i="7"/>
  <c r="L25" i="7" l="1"/>
  <c r="D30" i="1"/>
  <c r="T25" i="6"/>
  <c r="O25" i="6"/>
  <c r="N25" i="6"/>
  <c r="M25" i="6"/>
  <c r="I25" i="6"/>
  <c r="Q25" i="6" s="1"/>
  <c r="U25" i="6" l="1"/>
  <c r="M28" i="6" l="1"/>
  <c r="I28" i="6"/>
  <c r="C29" i="7"/>
  <c r="C28" i="7"/>
  <c r="B28" i="7"/>
  <c r="T29" i="6"/>
  <c r="O29" i="6"/>
  <c r="N29" i="6"/>
  <c r="M29" i="6"/>
  <c r="I29" i="6"/>
  <c r="T28" i="6"/>
  <c r="R28" i="6"/>
  <c r="O28" i="6"/>
  <c r="N28" i="6"/>
  <c r="T27" i="6"/>
  <c r="R27" i="6"/>
  <c r="O27" i="6"/>
  <c r="N27" i="6"/>
  <c r="M27" i="6"/>
  <c r="I27" i="6"/>
  <c r="T26" i="6"/>
  <c r="R26" i="6"/>
  <c r="O26" i="6"/>
  <c r="N26" i="6"/>
  <c r="M26" i="6"/>
  <c r="I26" i="6"/>
  <c r="I31" i="1"/>
  <c r="H31" i="1"/>
  <c r="I30" i="1"/>
  <c r="H30" i="1"/>
  <c r="I29" i="1"/>
  <c r="H29" i="1"/>
  <c r="I28" i="1"/>
  <c r="H28" i="1"/>
  <c r="N27" i="1"/>
  <c r="L27" i="1"/>
  <c r="I27" i="1"/>
  <c r="H27" i="1"/>
  <c r="G27" i="1"/>
  <c r="F27" i="1"/>
  <c r="E27" i="1"/>
  <c r="D27" i="1"/>
  <c r="Q28" i="6" l="1"/>
  <c r="U28" i="6" s="1"/>
  <c r="H29" i="7"/>
  <c r="B29" i="7"/>
  <c r="H27" i="7"/>
  <c r="C27" i="7"/>
  <c r="B27" i="7"/>
  <c r="H26" i="7"/>
  <c r="C26" i="7"/>
  <c r="B26" i="7"/>
  <c r="N31" i="1"/>
  <c r="L31" i="1"/>
  <c r="G31" i="1"/>
  <c r="F31" i="1"/>
  <c r="E31" i="1"/>
  <c r="D31" i="1"/>
  <c r="N30" i="1"/>
  <c r="L30" i="1"/>
  <c r="G30" i="1"/>
  <c r="F30" i="1"/>
  <c r="E30" i="1"/>
  <c r="N29" i="1"/>
  <c r="L29" i="1"/>
  <c r="G29" i="1"/>
  <c r="F29" i="1"/>
  <c r="E29" i="1"/>
  <c r="D29" i="1"/>
  <c r="N28" i="1"/>
  <c r="L28" i="1"/>
  <c r="G28" i="1"/>
  <c r="F28" i="1"/>
  <c r="E28" i="1"/>
  <c r="D28" i="1"/>
  <c r="L26" i="7" l="1"/>
  <c r="Q26" i="6"/>
  <c r="O27" i="1"/>
  <c r="L29" i="7"/>
  <c r="P29" i="7" s="1"/>
  <c r="L28" i="7"/>
  <c r="L27" i="7"/>
  <c r="Q29" i="6"/>
  <c r="U29" i="6" s="1"/>
  <c r="Q27" i="6"/>
  <c r="U27" i="6" s="1"/>
  <c r="O31" i="1"/>
  <c r="O30" i="1"/>
  <c r="O29" i="1"/>
  <c r="O28" i="1"/>
  <c r="U26" i="6" l="1"/>
  <c r="P28" i="7"/>
  <c r="P27" i="7"/>
  <c r="P26" i="7"/>
  <c r="P25" i="7"/>
  <c r="P31" i="1"/>
  <c r="P30" i="1"/>
  <c r="P29" i="1"/>
  <c r="P28" i="1"/>
  <c r="P27" i="1"/>
</calcChain>
</file>

<file path=xl/comments1.xml><?xml version="1.0" encoding="utf-8"?>
<comments xmlns="http://schemas.openxmlformats.org/spreadsheetml/2006/main">
  <authors>
    <author>Customer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Customer:</t>
        </r>
        <r>
          <rPr>
            <sz val="9"/>
            <color indexed="81"/>
            <rFont val="Tahoma"/>
            <family val="2"/>
          </rPr>
          <t xml:space="preserve">
Diva International Inc. (2015). Quality and standards. Retrieved December 6, 2015, from http://divacup.com/about-us/quality-and-standards/
</t>
        </r>
      </text>
    </comment>
  </commentList>
</comments>
</file>

<file path=xl/comments2.xml><?xml version="1.0" encoding="utf-8"?>
<comments xmlns="http://schemas.openxmlformats.org/spreadsheetml/2006/main">
  <authors>
    <author>Amy Hait</author>
  </authors>
  <commentList>
    <comment ref="C53" authorId="0" shapeId="0">
      <text>
        <r>
          <rPr>
            <b/>
            <sz val="9"/>
            <color indexed="81"/>
            <rFont val="Tahoma"/>
            <family val="2"/>
          </rPr>
          <t>Amy Hait: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Customer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Customer:</t>
        </r>
        <r>
          <rPr>
            <sz val="9"/>
            <color indexed="81"/>
            <rFont val="Tahoma"/>
            <family val="2"/>
          </rPr>
          <t xml:space="preserve">
Diva International Inc. (2015). Quality and standards. Retrieved December 6, 2015, from http://divacup.com/about-us/quality-and-standards/
</t>
        </r>
      </text>
    </comment>
  </commentList>
</comments>
</file>

<file path=xl/sharedStrings.xml><?xml version="1.0" encoding="utf-8"?>
<sst xmlns="http://schemas.openxmlformats.org/spreadsheetml/2006/main" count="1373" uniqueCount="534">
  <si>
    <t>units/year</t>
  </si>
  <si>
    <t>Cup</t>
  </si>
  <si>
    <t>Pad</t>
  </si>
  <si>
    <t xml:space="preserve">Tampon </t>
  </si>
  <si>
    <t xml:space="preserve">Functional unit: coverage for one woman for one year </t>
  </si>
  <si>
    <t xml:space="preserve">Energy </t>
  </si>
  <si>
    <t xml:space="preserve">Water </t>
  </si>
  <si>
    <t>MJ</t>
  </si>
  <si>
    <t>Corrugated Board</t>
  </si>
  <si>
    <t>Rayon Production</t>
  </si>
  <si>
    <t>DE: Polyester Resin unsaturated (UP) ts</t>
  </si>
  <si>
    <t>EU-27: Paper waste on landfill ts &lt;p-agg&gt;</t>
  </si>
  <si>
    <t>EU-27: Plastic waste on landfill ts</t>
  </si>
  <si>
    <t>EU-27: Textiles on landfill ts &lt;p-agg&gt;</t>
  </si>
  <si>
    <t>GLO: Truck-trailer ts &lt;u-so&gt;</t>
  </si>
  <si>
    <t>RER: Polypropylene film (PP) PlasticsEurope</t>
  </si>
  <si>
    <t>Tampon Manufacture &lt;u-bb&gt;</t>
  </si>
  <si>
    <t>US: Diesel mix at refinery ts</t>
  </si>
  <si>
    <t>US: Thermal energy from natural gas ts</t>
  </si>
  <si>
    <t>Use Phase Tampon &lt;u-so&gt;</t>
  </si>
  <si>
    <t>Energy resources</t>
  </si>
  <si>
    <t>WATER</t>
  </si>
  <si>
    <t>kg</t>
  </si>
  <si>
    <t>Water</t>
  </si>
  <si>
    <t>CO2 EMISSIONS</t>
  </si>
  <si>
    <t>Carbon dioxide</t>
  </si>
  <si>
    <t>Carbon dioxide (aviation)</t>
  </si>
  <si>
    <t>Carbon dioxide (biotic)</t>
  </si>
  <si>
    <t>Carbon dioxide (land use change)</t>
  </si>
  <si>
    <t>Carbon dioxide (peat oxidation)</t>
  </si>
  <si>
    <t>BIOLOGICAL MATERIAL</t>
  </si>
  <si>
    <t>Primary forest</t>
  </si>
  <si>
    <t>Wood, hard, standing</t>
  </si>
  <si>
    <t>Wood, primary forest, standing</t>
  </si>
  <si>
    <t>Wood, soft, standing</t>
  </si>
  <si>
    <t>Non renewable elements</t>
  </si>
  <si>
    <t>Non renewable resources</t>
  </si>
  <si>
    <t>Raw Materials</t>
  </si>
  <si>
    <t>Manufacturing</t>
  </si>
  <si>
    <t>Transport</t>
  </si>
  <si>
    <t>Disposal</t>
  </si>
  <si>
    <t>Cotton</t>
  </si>
  <si>
    <t>Silicone</t>
  </si>
  <si>
    <t xml:space="preserve">Polyethylene </t>
  </si>
  <si>
    <t>Polypropylene</t>
  </si>
  <si>
    <t>Rayon</t>
  </si>
  <si>
    <t>Polyester</t>
  </si>
  <si>
    <t>Cardboard</t>
  </si>
  <si>
    <t>Paper</t>
  </si>
  <si>
    <t>Wood Pulp</t>
  </si>
  <si>
    <t>TOTAL</t>
  </si>
  <si>
    <t xml:space="preserve">biological  </t>
  </si>
  <si>
    <t xml:space="preserve">CO2 emissions </t>
  </si>
  <si>
    <t>EU-27: Wood products (OSB, particle board) on landfill ts &lt;p-agg&gt;</t>
  </si>
  <si>
    <t>Pad Manufacture &lt;u-bb&gt;</t>
  </si>
  <si>
    <t>Menstrual cup manufacture &lt;u-bb&gt;</t>
  </si>
  <si>
    <t>Menstrual Cup Use &lt;u-so&gt;</t>
  </si>
  <si>
    <t>US: Electricity grid mix (production mix)</t>
  </si>
  <si>
    <t>RER: Polyethylene low density granulate (PE-LD) ELCD/PlasticsEurope &lt;p-agg&gt;</t>
  </si>
  <si>
    <t>Energy (net calorific value)</t>
  </si>
  <si>
    <t>Wood, soft, INW, standing</t>
  </si>
  <si>
    <t>Sanitary Pad</t>
  </si>
  <si>
    <t>Sanitary Pad Use &lt;u-so&gt;</t>
  </si>
  <si>
    <t>Cotton, textile</t>
  </si>
  <si>
    <t>Wood and wood waste, 9.5 MJ per kg</t>
  </si>
  <si>
    <t>Wood, unspecified, standing/kg</t>
  </si>
  <si>
    <t>Manufacture</t>
  </si>
  <si>
    <t>Menstrual Cup (with water)</t>
  </si>
  <si>
    <t>EU-27: Tap water ts</t>
  </si>
  <si>
    <t>Transport &amp; Use</t>
  </si>
  <si>
    <t>Total</t>
  </si>
  <si>
    <t>NON-RENEWABLE MATERIAL</t>
  </si>
  <si>
    <t xml:space="preserve">Non-renewable </t>
  </si>
  <si>
    <t>Non-renewable  MATERIAL</t>
  </si>
  <si>
    <t>Non-renewable MATERIAL</t>
  </si>
  <si>
    <t xml:space="preserve">Non-renewable   </t>
  </si>
  <si>
    <r>
      <rPr>
        <b/>
        <sz val="11"/>
        <color theme="1"/>
        <rFont val="Calibri"/>
        <family val="2"/>
        <scheme val="minor"/>
      </rPr>
      <t>Energy</t>
    </r>
    <r>
      <rPr>
        <sz val="11"/>
        <color theme="1"/>
        <rFont val="Calibri"/>
        <family val="2"/>
        <scheme val="minor"/>
      </rPr>
      <t xml:space="preserve"> (net calorific value)</t>
    </r>
  </si>
  <si>
    <t>Transport &amp;Use</t>
  </si>
  <si>
    <t>Overview</t>
  </si>
  <si>
    <t>Results of LCA of Sanitary products</t>
  </si>
  <si>
    <t>Gabi software used to organize and access ecoinvent inventory data</t>
  </si>
  <si>
    <t>LCIA used ILCD method with EU normalization factors</t>
  </si>
  <si>
    <t>AGGREGATION &amp; REORGANIZATION</t>
  </si>
  <si>
    <t>link to Table_ILCD_NFs_08_03_2016.xls</t>
  </si>
  <si>
    <t>https://eplca.jrc.ec.europa.eu/LCDN/developerILCD.xhtml</t>
  </si>
  <si>
    <t>Resource Depletion</t>
  </si>
  <si>
    <t>Eutrophication</t>
  </si>
  <si>
    <t>Acidification</t>
  </si>
  <si>
    <t>Ecotoxicity</t>
  </si>
  <si>
    <t>Human toxicity (noncancer)</t>
  </si>
  <si>
    <t xml:space="preserve">Human toxicity (cancer) </t>
  </si>
  <si>
    <t xml:space="preserve">Climate change (w/ biogenic) </t>
  </si>
  <si>
    <t>Climate Change (w/o biogenic)</t>
  </si>
  <si>
    <t>Normalization factors (EC-JRC, 2010)</t>
  </si>
  <si>
    <t>units same as ILCD impact categories</t>
  </si>
  <si>
    <r>
      <rPr>
        <b/>
        <sz val="14"/>
        <color theme="1"/>
        <rFont val="Calibri"/>
        <family val="2"/>
        <scheme val="minor"/>
      </rPr>
      <t xml:space="preserve">Sanitary Pad </t>
    </r>
    <r>
      <rPr>
        <sz val="14"/>
        <color theme="1"/>
        <rFont val="Calibri"/>
        <family val="2"/>
        <scheme val="minor"/>
      </rPr>
      <t>(per product unit)</t>
    </r>
  </si>
  <si>
    <t>Units</t>
  </si>
  <si>
    <t>Climate change midpoint, excl biogenic carbon (v1.06)</t>
  </si>
  <si>
    <t>kg CO2-Equiv.</t>
  </si>
  <si>
    <t>Climate change midpoint, incl biogenic carbon (v1.06)</t>
  </si>
  <si>
    <t>Human toxicity midpoint, cancer effects (v1.06)</t>
  </si>
  <si>
    <t>CTUh</t>
  </si>
  <si>
    <t>Human toxicity midpoint, non-cancer effects (v1.06)</t>
  </si>
  <si>
    <t>Ecotoxicity freshwater midpoint (v1.06)</t>
  </si>
  <si>
    <t>CTUe</t>
  </si>
  <si>
    <t>Acidification midpoint (v1.06)</t>
  </si>
  <si>
    <t>Mole of H+ eq.</t>
  </si>
  <si>
    <t>Eutrophication freshwater midpoint (v1.06)</t>
  </si>
  <si>
    <t>kg P eq</t>
  </si>
  <si>
    <t>Resource depletion, mineral, fossils and renewables, midpoint (v1.06)</t>
  </si>
  <si>
    <t>kg Sb-Equiv.</t>
  </si>
  <si>
    <t>normalized reults</t>
  </si>
  <si>
    <r>
      <t>RESULTS</t>
    </r>
    <r>
      <rPr>
        <sz val="11"/>
        <color theme="1"/>
        <rFont val="Calibri"/>
        <family val="2"/>
        <scheme val="minor"/>
      </rPr>
      <t xml:space="preserve"> (AFTER FUNCTIONAL UNIT 240 products/woman/year)</t>
    </r>
  </si>
  <si>
    <r>
      <t>Tampons</t>
    </r>
    <r>
      <rPr>
        <sz val="14"/>
        <color theme="1"/>
        <rFont val="Calibri"/>
        <family val="2"/>
        <scheme val="minor"/>
      </rPr>
      <t xml:space="preserve"> (per product unit)</t>
    </r>
  </si>
  <si>
    <r>
      <t xml:space="preserve">Menstrual Cup (with water) </t>
    </r>
    <r>
      <rPr>
        <sz val="14"/>
        <color theme="1"/>
        <rFont val="Calibri"/>
        <family val="2"/>
        <scheme val="minor"/>
      </rPr>
      <t>(per product unit)</t>
    </r>
  </si>
  <si>
    <r>
      <t>RESULTS</t>
    </r>
    <r>
      <rPr>
        <sz val="11"/>
        <color theme="1"/>
        <rFont val="Calibri"/>
        <family val="2"/>
        <scheme val="minor"/>
      </rPr>
      <t xml:space="preserve"> (AFTER FUNCTIONAL UNIT OF 1/10 product/woman/year)</t>
    </r>
  </si>
  <si>
    <t>normalized reults (UNITLESS)</t>
  </si>
  <si>
    <t xml:space="preserve">European Commission - Joint Research Centre - Institute for Environment and Sustainability: International Reference Life Cycle Data System (ILCD) Handbook - General guide for Life Cycle Assessment - Detailed guidance. First edition March 2010. EUR 24708 EN. Luxembourg. Publications Office of the European Union; 2010 https://doi.org/10.2788/38479 </t>
  </si>
  <si>
    <t>European Commission - Joint Research Centre, 2016. Developer: ILCD compliant normalization factors. Accessed June 2019 from https://eplca.jrc.ec.europa.eu/LCDN/developerILCD.xhtml.</t>
  </si>
  <si>
    <t>ecoinvent (n.d.). The ecoinvent Database. http://www.ecoinvent.org/database/database.html (accessed April 21, 2017).</t>
  </si>
  <si>
    <t>Thinkstep, 2016. GaBi Education (Version 6.3) [Computer software]. https://www.thinkstep.com/software/gabi-lca (accessed April 21, 2017).</t>
  </si>
  <si>
    <t>Three representative samples used:</t>
  </si>
  <si>
    <t xml:space="preserve">U by Kotex® Security® Maxi Pads  (Kimberly-Clark, 2014).  </t>
  </si>
  <si>
    <t xml:space="preserve">U by Kotex® Click® Tampons (Kimberly-Clark, 2014).  </t>
  </si>
  <si>
    <t>menstrual cup produced by DivaCup  (Diva International Inc., 2015)</t>
  </si>
  <si>
    <t>Packaging (g)</t>
  </si>
  <si>
    <t>Applicator (g)</t>
  </si>
  <si>
    <t xml:space="preserve">Removal String (g) </t>
  </si>
  <si>
    <t>Nonwoven Cover (g)</t>
  </si>
  <si>
    <t>Absorbent Core (g)</t>
  </si>
  <si>
    <t>stdev (%)</t>
  </si>
  <si>
    <t>Top Layer (g)</t>
  </si>
  <si>
    <t xml:space="preserve">Absorbent Core (g) </t>
  </si>
  <si>
    <t>Protective Backing (g)</t>
  </si>
  <si>
    <t>Peel Strip (g)</t>
  </si>
  <si>
    <t>Measured Component weights (10 samples each)</t>
  </si>
  <si>
    <t>U by Kotex Click Tampons (18 pack) Regular</t>
  </si>
  <si>
    <t>U by Kotex Security Maxi Pad (24 pack) Regular</t>
  </si>
  <si>
    <t>Cardboard box</t>
  </si>
  <si>
    <t>g</t>
  </si>
  <si>
    <t>Plastic bag</t>
  </si>
  <si>
    <t xml:space="preserve">Paper warning </t>
  </si>
  <si>
    <t>Per Pad:</t>
  </si>
  <si>
    <t>Average (g)</t>
  </si>
  <si>
    <t>Per Tampon</t>
  </si>
  <si>
    <t>Ind. Packaging (g)</t>
  </si>
  <si>
    <t>Total per pad (inc. container)</t>
  </si>
  <si>
    <t>Total (including container)</t>
  </si>
  <si>
    <t>Data prepared for and used in manuscript prepared for Resources Conservation and  Recycling (Hait and Powers, 2019)</t>
  </si>
  <si>
    <t>Packaging</t>
  </si>
  <si>
    <t>Silicone cup</t>
  </si>
  <si>
    <t>Menstrual Cup by Diva Cup</t>
  </si>
  <si>
    <t>(weight of one product)</t>
  </si>
  <si>
    <t xml:space="preserve">Neglected Flow </t>
  </si>
  <si>
    <t>% composition</t>
  </si>
  <si>
    <t>[sulfonyl]urea-compound</t>
  </si>
  <si>
    <t>acetamide-anillide-compound, unspecified</t>
  </si>
  <si>
    <t>alkylketene dimer sizing agent, for paper production</t>
  </si>
  <si>
    <t>aluminium sulfate</t>
  </si>
  <si>
    <t>ammonium nitrate, as N</t>
  </si>
  <si>
    <t>ammonium sulfate, as N</t>
  </si>
  <si>
    <t>atrazine</t>
  </si>
  <si>
    <t>benzoic-compound</t>
  </si>
  <si>
    <t>bipyridylium-compound</t>
  </si>
  <si>
    <t>calcium chloride</t>
  </si>
  <si>
    <t>chemical, organic</t>
  </si>
  <si>
    <t>core board</t>
  </si>
  <si>
    <t>corrugated board box</t>
  </si>
  <si>
    <t>cyclic N-compound</t>
  </si>
  <si>
    <t>dinitroaniline-compound</t>
  </si>
  <si>
    <t>diphenylether-compound</t>
  </si>
  <si>
    <t>dithiocarbamate-compound</t>
  </si>
  <si>
    <t>ethoxylated alcohol (AE3)</t>
  </si>
  <si>
    <t>glyphosate</t>
  </si>
  <si>
    <t>magnesium sulfate</t>
  </si>
  <si>
    <t>maize seed, for sowing</t>
  </si>
  <si>
    <t>malusil</t>
  </si>
  <si>
    <t>methyl tert-butyl ether</t>
  </si>
  <si>
    <t>metolachlor</t>
  </si>
  <si>
    <t>nitrile-compound</t>
  </si>
  <si>
    <t>organophosphorus-compound, unspecified</t>
  </si>
  <si>
    <t>pesticide, unspecified</t>
  </si>
  <si>
    <t>phenoxy-compound</t>
  </si>
  <si>
    <t>pitch despergents, in paper production</t>
  </si>
  <si>
    <t>potassium chloride, as K2O</t>
  </si>
  <si>
    <t>printing ink</t>
  </si>
  <si>
    <t>pyrethroid-compound</t>
  </si>
  <si>
    <t>retention aid, for paper production</t>
  </si>
  <si>
    <t>soda ash, light, crystalline, heptahydrate</t>
  </si>
  <si>
    <t>sodium chlorate, powder</t>
  </si>
  <si>
    <t>sodium dichromate</t>
  </si>
  <si>
    <t>sodium silicate, spray powder, 80%</t>
  </si>
  <si>
    <t>sodium sulfate, anhydrite</t>
  </si>
  <si>
    <t>steel, chromium steel 18/8</t>
  </si>
  <si>
    <t>titanium dioxide</t>
  </si>
  <si>
    <t>triazine-compound, unspecified</t>
  </si>
  <si>
    <t>urea, as N</t>
  </si>
  <si>
    <t>wood chips</t>
  </si>
  <si>
    <t>Total %Mass Neglected</t>
  </si>
  <si>
    <t>Flows neglected from the analysis due to low mass</t>
  </si>
  <si>
    <t>Tampons</t>
  </si>
  <si>
    <t>ASSUMPTIONS</t>
  </si>
  <si>
    <t>RESULTS</t>
  </si>
  <si>
    <t xml:space="preserve">Flow </t>
  </si>
  <si>
    <t>Assumption</t>
  </si>
  <si>
    <t>Percent composition of product</t>
  </si>
  <si>
    <t xml:space="preserve">General </t>
  </si>
  <si>
    <t>Representative product</t>
  </si>
  <si>
    <t>DivaCup</t>
  </si>
  <si>
    <t>Life time</t>
  </si>
  <si>
    <t xml:space="preserve">10 years </t>
  </si>
  <si>
    <t>Material Aquistion</t>
  </si>
  <si>
    <t>Silicone Product</t>
  </si>
  <si>
    <t>weight determination</t>
  </si>
  <si>
    <t>Ecoinvent Process - silicone product production - GLO, 2001</t>
  </si>
  <si>
    <t>Ecoinvent Process - chemical production, organic, GLO, 2000</t>
  </si>
  <si>
    <t>acetic acid, without water, in 98% solution state</t>
  </si>
  <si>
    <t>Gabi Process - Acetic acid from methanol (low pressure carbonylation) (Monsanto process)</t>
  </si>
  <si>
    <t>acetone, liquid</t>
  </si>
  <si>
    <t>Gabi Process - RER: Acetone (dimethylcetone) PlasticsEurope</t>
  </si>
  <si>
    <t>benzene</t>
  </si>
  <si>
    <t>Gabi Process - EU-27: Benzene</t>
  </si>
  <si>
    <t>butadiene</t>
  </si>
  <si>
    <t>Gabi Process - DE: 1,3-Butadiene</t>
  </si>
  <si>
    <t>ethyl benzene</t>
  </si>
  <si>
    <t>Gabi Process - RER: Ethyl benzene PlasticsEurope</t>
  </si>
  <si>
    <t>ethylene dichloride</t>
  </si>
  <si>
    <t>Gabi Plan - ethylene dichloride</t>
  </si>
  <si>
    <t>ethylene glycol</t>
  </si>
  <si>
    <t>Gabi Process - DE: Ethylene glycol</t>
  </si>
  <si>
    <t>ethylene oxide</t>
  </si>
  <si>
    <t>Gabi Process - DE: Ethylene oxide (EO) via air</t>
  </si>
  <si>
    <t>ethylene, average</t>
  </si>
  <si>
    <t>Gabi Process - EU-27: Ethene (ethylene)</t>
  </si>
  <si>
    <t>formaldehyde</t>
  </si>
  <si>
    <t>Gabi Process - DE: Formaldehyde (HCHO; 37%)</t>
  </si>
  <si>
    <t>methanol</t>
  </si>
  <si>
    <t>Gabi Plan - Methanol</t>
  </si>
  <si>
    <t>phenol</t>
  </si>
  <si>
    <t>Gabi Process - RER: Phenol PlasticsEurope</t>
  </si>
  <si>
    <t>propylene</t>
  </si>
  <si>
    <t xml:space="preserve">Gabi Process - Propylene at refinery </t>
  </si>
  <si>
    <t>styrene</t>
  </si>
  <si>
    <t>Gabi Process - DE: Styrene</t>
  </si>
  <si>
    <t>toluene, liquid</t>
  </si>
  <si>
    <t>Gabi Process- EU-27: Toluene PlasticsEurope</t>
  </si>
  <si>
    <t>vinyl acetate</t>
  </si>
  <si>
    <t>Gabi Plan - Vinyl Acetate</t>
  </si>
  <si>
    <t>vinyl chloride</t>
  </si>
  <si>
    <t>Gabi Process - DE: Vinylchloride monomer (VCM)</t>
  </si>
  <si>
    <t>xylene</t>
  </si>
  <si>
    <t>Gabi Process - EU-27: Xylenes, mixed PlasticsEurope</t>
  </si>
  <si>
    <t>copper</t>
  </si>
  <si>
    <t>Gabi Process - DE: Copper mix (99.999% from electrolysis)</t>
  </si>
  <si>
    <t>cyclohexanol</t>
  </si>
  <si>
    <t>electricity, high voltage</t>
  </si>
  <si>
    <t>Gabi Process - US: Electricity grid mix (production mix)</t>
  </si>
  <si>
    <t>electricity, medium voltage</t>
  </si>
  <si>
    <t xml:space="preserve">Gabi Process - EU-27: Ethene (ethylene) </t>
  </si>
  <si>
    <t xml:space="preserve">fluosilicic acid, in 22% solution </t>
  </si>
  <si>
    <t>heat, natural gas</t>
  </si>
  <si>
    <t xml:space="preserve">Gabi Process - US: Thermal energy from natural gas </t>
  </si>
  <si>
    <t>heat, other than natural gas</t>
  </si>
  <si>
    <t>Assume other thermal energy (not natural gas) comes from coal</t>
  </si>
  <si>
    <t>Gabi Process - US: Thermal energy from hard coal</t>
  </si>
  <si>
    <t>isopropanol</t>
  </si>
  <si>
    <t xml:space="preserve">Gabi Process - DE: Isopropanol </t>
  </si>
  <si>
    <t>Gabi Plan - RNA: Methanol, at plant USLCI</t>
  </si>
  <si>
    <t>Electricity</t>
  </si>
  <si>
    <t xml:space="preserve">Gabi Process - Electricity grid mix (production mix) </t>
  </si>
  <si>
    <t>Natural gas, combusted in industrial boiler</t>
  </si>
  <si>
    <t>Gabi Process - US: Natural gas, combusted in industrial boiler USLCI</t>
  </si>
  <si>
    <t xml:space="preserve">Transport, train, diesel powered </t>
  </si>
  <si>
    <t>Gabi Process - US: Transport, train, diesel powered USLCI</t>
  </si>
  <si>
    <t>Diesel</t>
  </si>
  <si>
    <t>Gabi Process - US: Diesel mix at refinery</t>
  </si>
  <si>
    <t>Tranport, combination truck, average fuel</t>
  </si>
  <si>
    <t>Gabi Process - US: Transport, combination truck, average fuel mix USLCI</t>
  </si>
  <si>
    <t>Transport, combination truck, diesel powered</t>
  </si>
  <si>
    <t xml:space="preserve">Gabi Process - US: Transport, combination truck, diesel powered </t>
  </si>
  <si>
    <t>Natural as, processed, at plant</t>
  </si>
  <si>
    <t>Gabi Process - US: Natural gas, processed, at plant USLCI (see below process for all encompassed flows)</t>
  </si>
  <si>
    <t xml:space="preserve">Natural gas, processed, at plant </t>
  </si>
  <si>
    <t>Gabi Process - US: Natural gas, processed, at plant USLCI</t>
  </si>
  <si>
    <t xml:space="preserve">Electricity </t>
  </si>
  <si>
    <t xml:space="preserve">Natural gas, at extraction site </t>
  </si>
  <si>
    <t>Residual fuel oil, combusted in industrial boiler</t>
  </si>
  <si>
    <t>Gabi Process - US: Natural gas, combusted in industrial boiler USLCI (see process above for all encompassed flows)</t>
  </si>
  <si>
    <t>Diesel, combused in industrial boiler</t>
  </si>
  <si>
    <t xml:space="preserve">Gasoline, combusted in equipment </t>
  </si>
  <si>
    <t>Gabi Process - US: Gasoline, combusted in equipment USLCI</t>
  </si>
  <si>
    <t xml:space="preserve">Gasoline </t>
  </si>
  <si>
    <t>Gabi Process - US: Gasoline mix (regular) at refinery</t>
  </si>
  <si>
    <t>Transport, barge, average</t>
  </si>
  <si>
    <t xml:space="preserve">Gabi Plan - barge </t>
  </si>
  <si>
    <t>methylchloride</t>
  </si>
  <si>
    <t>Ecoinvent Process - methylchloride, GLO, 1997</t>
  </si>
  <si>
    <t xml:space="preserve">Assume effect byproducts is negligble </t>
  </si>
  <si>
    <t>polyethylene, high density, granulate</t>
  </si>
  <si>
    <t>Gabi Process - RER: Polyethylene high density granulate (PE-HD) ELCD/PlasticsEurope</t>
  </si>
  <si>
    <t>quicklime, milled, packed</t>
  </si>
  <si>
    <t>Gabi Process - DE: Lime (CaO; quicklime lumpy)</t>
  </si>
  <si>
    <t>silicon tetrachloride</t>
  </si>
  <si>
    <t>silicon, metallurgical grade</t>
  </si>
  <si>
    <t xml:space="preserve">Gabi Process - GLO: Silicon mix (99%) </t>
  </si>
  <si>
    <t>sodium chloride, powder</t>
  </si>
  <si>
    <t>Gabi Process - Sodium chloride (rock salt)</t>
  </si>
  <si>
    <t>sodium hydroxide, in 50% solution</t>
  </si>
  <si>
    <t>Gabi Process - DE: Sodium hydroxide mix (50%)</t>
  </si>
  <si>
    <t>sulfuric acid</t>
  </si>
  <si>
    <t>Gabi Process - EU-27: Sulphuric acid (96%)</t>
  </si>
  <si>
    <t>tap water, at user</t>
  </si>
  <si>
    <t>Gabi Process - EU-27: Tap Water</t>
  </si>
  <si>
    <t>Gabi Process - DE: Toluene</t>
  </si>
  <si>
    <t>zinc</t>
  </si>
  <si>
    <t xml:space="preserve">Gabi Process - DE: Zinc redistilled mix </t>
  </si>
  <si>
    <t>Cotton Fabric</t>
  </si>
  <si>
    <t>Ecoinvent Process - textile production, knit cotton, batch dyed - GLO - 2009</t>
  </si>
  <si>
    <t>Assume byproducts (waste textile and waste water) have no effect</t>
  </si>
  <si>
    <t>Gabi Process - DE: Acetic acid from methanol (low pressure carbonylation) (Monsanto process)</t>
  </si>
  <si>
    <t>acrylic acid</t>
  </si>
  <si>
    <t>Gabi Process - DE: Acrylic acid (propene)</t>
  </si>
  <si>
    <t>anthraquinone</t>
  </si>
  <si>
    <t>citric acid</t>
  </si>
  <si>
    <t>cotton fibre</t>
  </si>
  <si>
    <t>Ecoinvent Process - cotton production, US, 2010</t>
  </si>
  <si>
    <t>[thio]carbamate-compound</t>
  </si>
  <si>
    <t>butane</t>
  </si>
  <si>
    <t xml:space="preserve">Gabi Process - US: Butane at refinery </t>
  </si>
  <si>
    <t>diazole-compound</t>
  </si>
  <si>
    <t>diesel</t>
  </si>
  <si>
    <t>electricity, low voltage</t>
  </si>
  <si>
    <t>heat, district or industrial, natural gas</t>
  </si>
  <si>
    <t>lime</t>
  </si>
  <si>
    <t>lubricating oil</t>
  </si>
  <si>
    <t xml:space="preserve">Gabi Process - US: Lubricants at refinery </t>
  </si>
  <si>
    <t>mancozeb</t>
  </si>
  <si>
    <t>nitrogen fertiliser, as N</t>
  </si>
  <si>
    <t>Gabi Plan - Nitrogen fertilizer</t>
  </si>
  <si>
    <t>petrol, unleaded</t>
  </si>
  <si>
    <t>Gabi Process - Petrol coke at refinery</t>
  </si>
  <si>
    <t>phosphate fertiliser, as P2O5</t>
  </si>
  <si>
    <t>Gabi Plan - Phosphorus Fertilizer</t>
  </si>
  <si>
    <t>pyridine-compound</t>
  </si>
  <si>
    <t>sulfur</t>
  </si>
  <si>
    <t>Gabi Process - US: Sulphur (elemental) at refinery</t>
  </si>
  <si>
    <t xml:space="preserve">Gabi Process - DE: Sulphuric acid (96%) </t>
  </si>
  <si>
    <t>cyanuric chloride</t>
  </si>
  <si>
    <t>deinking emulsion, in paper production</t>
  </si>
  <si>
    <t>ethoxylated alcohol (AE7)</t>
  </si>
  <si>
    <t>fatty acid</t>
  </si>
  <si>
    <t>heat, central or small-scale, natural gas</t>
  </si>
  <si>
    <t>heat, central or small-scale, other than natural gas</t>
  </si>
  <si>
    <t>hydrogen peroxide, without water, in 50% solution state</t>
  </si>
  <si>
    <t>Gabi Process- DE: Hydrogen peroxide</t>
  </si>
  <si>
    <t>Gabi Plan - US: Nitrogen fertilizer, productioon mix, at plant</t>
  </si>
  <si>
    <t>polycarboxylates, 40% active substance</t>
  </si>
  <si>
    <t>polyethylene, low density, granulate</t>
  </si>
  <si>
    <t>Gabi Process - RER: Polyethylene low density granulate (PE-LD) ELCD/PlasticsEurope</t>
  </si>
  <si>
    <t>Gabi Process - EU-27: Sodium chloride (rock salt)</t>
  </si>
  <si>
    <t>sodium dithionite, anhydrous</t>
  </si>
  <si>
    <t>sodium hydroxide, without water, in 50% solution state</t>
  </si>
  <si>
    <t>steam, in chemical industry</t>
  </si>
  <si>
    <t>Gabi Process - RER: Steam (mp) PlasticsEurope</t>
  </si>
  <si>
    <t xml:space="preserve">Gabi Process - EU-27: Tap water </t>
  </si>
  <si>
    <t>tetrafluoroethylene</t>
  </si>
  <si>
    <t>urea formaldehyde resin</t>
  </si>
  <si>
    <t>Gabi Process - US: Melamine-urea-formaldehyde resin, at plant</t>
  </si>
  <si>
    <t>Manufacturing Data</t>
  </si>
  <si>
    <t xml:space="preserve">From DOW Corning 2015 Sustainability Report: http://www.dowcorning.com/content/publishedlit/sustainability-report-en.pdf </t>
  </si>
  <si>
    <t>GaBi Process - US: Electricity grid mix (production mix)</t>
  </si>
  <si>
    <t xml:space="preserve">Thermal Energy </t>
  </si>
  <si>
    <t>GaBi Process - US: Thermal Energy from natural gas</t>
  </si>
  <si>
    <t>Transportation</t>
  </si>
  <si>
    <t xml:space="preserve">Truck trailer transport </t>
  </si>
  <si>
    <t>GaBi Process - GLO: Truck-trailer</t>
  </si>
  <si>
    <t>Assume default distance = 100 km travelled</t>
  </si>
  <si>
    <t>Diesel mix</t>
  </si>
  <si>
    <t>GaBi Process - US: Diesel mix at refinery</t>
  </si>
  <si>
    <t>Plastic Waste Landfill</t>
  </si>
  <si>
    <t xml:space="preserve">silicone product (conserve mass) end of life </t>
  </si>
  <si>
    <t>GaBi Process - EU-27: Plastic waste on landfill</t>
  </si>
  <si>
    <t>Textiles waste Landfill</t>
  </si>
  <si>
    <t>Cotton bag mass end of life</t>
  </si>
  <si>
    <t>GaBi Process - EU-27: Textiles on landfill</t>
  </si>
  <si>
    <t>Paper Waste Landfill</t>
  </si>
  <si>
    <t>Cardboard mass end of life</t>
  </si>
  <si>
    <t>GaBi Process - EU - 27: Paper waste on landfill</t>
  </si>
  <si>
    <t>Energy (MJ)</t>
  </si>
  <si>
    <t>Water (kg)</t>
  </si>
  <si>
    <t>CO2 emissions  (kg)</t>
  </si>
  <si>
    <t>biological   (kg)</t>
  </si>
  <si>
    <t>Non-renewable  (kg)</t>
  </si>
  <si>
    <t>Solid waste  (kg)</t>
  </si>
  <si>
    <t>Menstrual Cup</t>
  </si>
  <si>
    <t>aluminium sulfate, powder</t>
  </si>
  <si>
    <t xml:space="preserve"> U by KotexⓇ SecurityⓇ Maxi Pads</t>
  </si>
  <si>
    <t>Life Span</t>
  </si>
  <si>
    <t>240 units per year</t>
  </si>
  <si>
    <t>GaBi Process - RER: Polyethylene low density granulate (PE-LD)</t>
  </si>
  <si>
    <t xml:space="preserve">Wood Pulp </t>
  </si>
  <si>
    <t>Ecoinvent Process - stone groundwood pulp production - GLO - 2000</t>
  </si>
  <si>
    <t xml:space="preserve">By-products have neglible effects </t>
  </si>
  <si>
    <t xml:space="preserve">Ignored infrastructure - pulp factory </t>
  </si>
  <si>
    <t>EDTA, ethylenediaminetetraacetic acid</t>
  </si>
  <si>
    <t>Ecoinvent Process - EDTA production, GLO, 2000</t>
  </si>
  <si>
    <t>Assume that infastructure effect is neglible - don't count factory</t>
  </si>
  <si>
    <t>Gabi Process - Electricity grid mix (production mix)</t>
  </si>
  <si>
    <t>ethylenediamine</t>
  </si>
  <si>
    <t>Ecoinvent Process - ethylenediamine production, GLO, 2000</t>
  </si>
  <si>
    <t>Assume that effect of infastructure is neglible</t>
  </si>
  <si>
    <t>ammonia</t>
  </si>
  <si>
    <t>Gabi Process - EU-27: Ammonia mix (NH3)</t>
  </si>
  <si>
    <t xml:space="preserve">Gabi Process - US: Electricity grid mix (production mix) </t>
  </si>
  <si>
    <t>Ecoinvent Process - ethylene dichloride production, GLO, 2000</t>
  </si>
  <si>
    <t>chlorine, gaseous</t>
  </si>
  <si>
    <t xml:space="preserve">Gabi Process - DE: Chlorine mix </t>
  </si>
  <si>
    <t>Gabi Process - US: Thermal energy from natural gas</t>
  </si>
  <si>
    <t>sodium hydroxide, in 50% solution state</t>
  </si>
  <si>
    <t xml:space="preserve">Gabi Process - DE: Formaldehyde </t>
  </si>
  <si>
    <t>sodium cyanide</t>
  </si>
  <si>
    <t>Ecoinvent Process - sodium cyanide production, GLO, 2000</t>
  </si>
  <si>
    <t>hydrogen cyanide</t>
  </si>
  <si>
    <t xml:space="preserve">Gabi Process - DE: Hydrogen cyanide (prussic acid) </t>
  </si>
  <si>
    <t>Thermal energy, other than natural gas</t>
  </si>
  <si>
    <t xml:space="preserve">Assume that if not from natural gas, than from hard coal </t>
  </si>
  <si>
    <t xml:space="preserve">Gabi Process - US: Thermal energy from hard coal </t>
  </si>
  <si>
    <t>hydrogen peroxide, in 50% solution state</t>
  </si>
  <si>
    <t xml:space="preserve">Gabi Process - DE: Hydrogen peroxide </t>
  </si>
  <si>
    <t>Softwood lumber</t>
  </si>
  <si>
    <t>Gabi Process - RNA: Sawn lumber, softwood, planed, kiln dried, at kiln, NE-NC, CORRIM/NREL USLCI</t>
  </si>
  <si>
    <t>Assume all byproducts have neglible impacts</t>
  </si>
  <si>
    <t>Gabi Plan - Softwood lumber</t>
  </si>
  <si>
    <t>Ecoinvent Process - sodium silicate production, spray powder, 80%, GLO, 1995</t>
  </si>
  <si>
    <t>heat, district or industrial, other than natural gas</t>
  </si>
  <si>
    <t>Assumed that all thermal energy not from NG is from hard coal</t>
  </si>
  <si>
    <t>sodium silicate, without water, in 48% solution state</t>
  </si>
  <si>
    <t>Ecoinvent Process - sodium silicate production, hydrothermal liquor, product in 48% solution state</t>
  </si>
  <si>
    <t xml:space="preserve">Assume that the effecct of byproducts are neglible </t>
  </si>
  <si>
    <t>Gabi Plan - chemical, organic</t>
  </si>
  <si>
    <t xml:space="preserve">Paper </t>
  </si>
  <si>
    <t>Ecoivent Process - corrugated board box production - GLO 2008</t>
  </si>
  <si>
    <t xml:space="preserve">Assume by-products are neglible </t>
  </si>
  <si>
    <t>Assume that infastructure effect is neglible - don't count box factory</t>
  </si>
  <si>
    <t>ethylene vinyl acetate copolymer</t>
  </si>
  <si>
    <t>Ecoinvent Process - ethylene vinyl acetate copolymer production, GLO, 2000</t>
  </si>
  <si>
    <t>Assume infrastructure is negligble (chemical factory isn't required)</t>
  </si>
  <si>
    <t>potato starch</t>
  </si>
  <si>
    <t>Ecoinvent Process - potato starch production,  GLO, 2002</t>
  </si>
  <si>
    <t>potato, Swiss integrated production</t>
  </si>
  <si>
    <t>Gabi Process - US: Potato, whole plant, at field</t>
  </si>
  <si>
    <t>Nitrogen fertilizer</t>
  </si>
  <si>
    <t xml:space="preserve">Gabi Plan - Nitrogen fertilizer </t>
  </si>
  <si>
    <t>Gabi Plan - Transport, train, diesel powered</t>
  </si>
  <si>
    <t xml:space="preserve">Quicklime </t>
  </si>
  <si>
    <t xml:space="preserve">Gabi Process - DE: Lime (CaO; quicklime lumpy) </t>
  </si>
  <si>
    <t xml:space="preserve">Diesel, combusted in industrial equipment </t>
  </si>
  <si>
    <t>Gabi Process - US: Diesel, combusted in industrial equipment USLCI</t>
  </si>
  <si>
    <t xml:space="preserve">Diesel </t>
  </si>
  <si>
    <t xml:space="preserve">Transport, barge, average fuel </t>
  </si>
  <si>
    <t>Gabi Process - US: Transport, barge, average fuel mix USLCI</t>
  </si>
  <si>
    <t>Transport, barge, diesel powered</t>
  </si>
  <si>
    <t>Gabi Process - US: Transport, barge, diesel powered USLCI</t>
  </si>
  <si>
    <t>Transport, barge, residual fuel</t>
  </si>
  <si>
    <t>Gabi Process - US: Transport, barge, residual fuel oil powered USLCI</t>
  </si>
  <si>
    <t>Assume that residual fuel is comparable to heavy fuel oil, with a density of 930 kg/m3</t>
  </si>
  <si>
    <t>Heavy fuel oil</t>
  </si>
  <si>
    <t>Gabi Process - US: Heavy fuel oil at refinery (2.5 wt % S)</t>
  </si>
  <si>
    <t>Transport, combination truck, average fuel</t>
  </si>
  <si>
    <t>Gabi Plan - Transport, combination truck, average</t>
  </si>
  <si>
    <t>transport, single unit truck, diesel powered</t>
  </si>
  <si>
    <t>Gabi Process - US: Transport, single unit truck, diesel powered USLCI</t>
  </si>
  <si>
    <t>Gabi Process - EU-27: Tap water</t>
  </si>
  <si>
    <t>Ecoinvent Process - vinyl acetate production, GLO, 2000</t>
  </si>
  <si>
    <t>acetic acid</t>
  </si>
  <si>
    <t xml:space="preserve">Gabi Process - DE: Acetic acid from methanol (low pressure carbonylation) (Monsanto process) </t>
  </si>
  <si>
    <t>electricity</t>
  </si>
  <si>
    <t>ethylene</t>
  </si>
  <si>
    <t>thermal energy from natural gas</t>
  </si>
  <si>
    <t>oxygen, liquid</t>
  </si>
  <si>
    <t>Gabi Process - DE: Oxygen (liquid)</t>
  </si>
  <si>
    <t>fluting medium</t>
  </si>
  <si>
    <t>Ecoinvent Process - fluting medium production, semichemical, GLO, 2008</t>
  </si>
  <si>
    <t>Assume effect of infrastructure is negligble</t>
  </si>
  <si>
    <t>diesel, low-sulfur</t>
  </si>
  <si>
    <t>hard coal</t>
  </si>
  <si>
    <t>Gabi Process - US: Hard coal mix</t>
  </si>
  <si>
    <t>heavy fuel oil</t>
  </si>
  <si>
    <t>Gabi Process - US: Heavy fuel oil at refinery (2.5wt. % S)</t>
  </si>
  <si>
    <t>hydrochloric acid, without water, in 30% solution state</t>
  </si>
  <si>
    <t>Gabi Process - DE: Hydrochloric acid (32%)</t>
  </si>
  <si>
    <t>light fuel oil</t>
  </si>
  <si>
    <t>Gabi Process - US: Light fuel oil at refinery</t>
  </si>
  <si>
    <t>Gabi Process - US: Lubricants at refinery</t>
  </si>
  <si>
    <t>packaging film, low density polyethylene</t>
  </si>
  <si>
    <t>Gabi Process - RER: Polyethylene film (PE-LD) PlasticsEurope</t>
  </si>
  <si>
    <t>peat</t>
  </si>
  <si>
    <t>pulpwood, hardwood, measured as solid wood under bark</t>
  </si>
  <si>
    <t>pulpwood, softwood, measured as solid wood under bark</t>
  </si>
  <si>
    <t>quicklime, milled, loose</t>
  </si>
  <si>
    <t>soda ash, dense</t>
  </si>
  <si>
    <t>Gabi Process - EU-27: Soda (Na2CO3)</t>
  </si>
  <si>
    <t>sulfate pulp</t>
  </si>
  <si>
    <t>sulfur dioxide, liquid</t>
  </si>
  <si>
    <t>Gabi Plan - Sulfur Dioxide</t>
  </si>
  <si>
    <t xml:space="preserve">Gabi Process - EU-27: Sulpuric acid (96%) </t>
  </si>
  <si>
    <t>wood chips, dry, measured as dry mass</t>
  </si>
  <si>
    <t>Gabi Process - US: Heavy fuel oil at refinery (0.3 wt.%S)</t>
  </si>
  <si>
    <t xml:space="preserve">Gabi Process - US: Light fuel oil at refinery </t>
  </si>
  <si>
    <t>linerboard</t>
  </si>
  <si>
    <t>on ecoinvent but long</t>
  </si>
  <si>
    <t>liquefied petroleum gas</t>
  </si>
  <si>
    <t>Gabi Process - US: Liquefied Petroleum Gas (LPG) (70% propane; 30% butane)</t>
  </si>
  <si>
    <t>maize starch</t>
  </si>
  <si>
    <t>Ecoinvent Process - maize starch production, GLO, 2002</t>
  </si>
  <si>
    <t>maize grain</t>
  </si>
  <si>
    <t>natural gas, low pressure</t>
  </si>
  <si>
    <t>Gabi Process - US: Natural gas mix</t>
  </si>
  <si>
    <t>polyethylene packaging</t>
  </si>
  <si>
    <t>Gabi Plan - Potato starch</t>
  </si>
  <si>
    <t xml:space="preserve">on ecoinvent  </t>
  </si>
  <si>
    <t>From SCA Sustainability Report 2015 (downloaded into excel sheet)</t>
  </si>
  <si>
    <t xml:space="preserve">Assume thermal energy for heating is from natural gas </t>
  </si>
  <si>
    <t xml:space="preserve">Plastic Waste </t>
  </si>
  <si>
    <t xml:space="preserve">Polyethylene mass end of life </t>
  </si>
  <si>
    <t xml:space="preserve">Wood Products </t>
  </si>
  <si>
    <t>Wood Pulp mass end of life</t>
  </si>
  <si>
    <t>GaBi Process - EU -27: Wood products (OSB, particle board) on landfill</t>
  </si>
  <si>
    <t xml:space="preserve">Paper Waste </t>
  </si>
  <si>
    <t>Cardboard and Paper mass end of life</t>
  </si>
  <si>
    <t>weight assumed 50% of absorbent material</t>
  </si>
  <si>
    <t>weight measured</t>
  </si>
  <si>
    <t>Authors:</t>
  </si>
  <si>
    <t>Amy Hait &amp; Susan Powers, PhD, Clarkson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</si>
</sst>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0%"/>
    <numFmt numFmtId="168" formatCode="0.000%"/>
    <numFmt numFmtId="169" formatCode="0.00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0" xfId="0" applyFont="1" applyFill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11" fontId="0" fillId="0" borderId="0" xfId="0" applyNumberFormat="1" applyFill="1"/>
    <xf numFmtId="10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11" fontId="0" fillId="3" borderId="0" xfId="0" applyNumberFormat="1" applyFill="1"/>
    <xf numFmtId="11" fontId="0" fillId="2" borderId="0" xfId="0" applyNumberFormat="1" applyFill="1"/>
    <xf numFmtId="9" fontId="0" fillId="0" borderId="0" xfId="1" applyFont="1"/>
    <xf numFmtId="0" fontId="0" fillId="0" borderId="0" xfId="0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11" fontId="0" fillId="0" borderId="4" xfId="0" applyNumberFormat="1" applyBorder="1"/>
    <xf numFmtId="11" fontId="0" fillId="3" borderId="4" xfId="0" applyNumberFormat="1" applyFill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1" fontId="0" fillId="0" borderId="8" xfId="0" applyNumberFormat="1" applyBorder="1" applyAlignment="1">
      <alignment horizontal="center" vertical="center" wrapText="1"/>
    </xf>
    <xf numFmtId="11" fontId="0" fillId="0" borderId="8" xfId="0" applyNumberFormat="1" applyFill="1" applyBorder="1" applyAlignment="1">
      <alignment horizontal="center" vertical="center" wrapText="1"/>
    </xf>
    <xf numFmtId="11" fontId="0" fillId="0" borderId="10" xfId="0" applyNumberFormat="1" applyBorder="1" applyAlignment="1">
      <alignment horizontal="center" vertical="center" wrapText="1"/>
    </xf>
    <xf numFmtId="11" fontId="1" fillId="0" borderId="8" xfId="0" applyNumberFormat="1" applyFont="1" applyBorder="1" applyAlignment="1">
      <alignment horizontal="center" vertical="center" wrapText="1"/>
    </xf>
    <xf numFmtId="11" fontId="0" fillId="0" borderId="4" xfId="0" applyNumberFormat="1" applyFill="1" applyBorder="1"/>
    <xf numFmtId="0" fontId="0" fillId="0" borderId="8" xfId="0" applyBorder="1"/>
    <xf numFmtId="0" fontId="0" fillId="0" borderId="8" xfId="0" applyBorder="1" applyAlignment="1">
      <alignment wrapText="1"/>
    </xf>
    <xf numFmtId="0" fontId="4" fillId="0" borderId="8" xfId="0" applyFont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6" fillId="0" borderId="0" xfId="0" applyFont="1"/>
    <xf numFmtId="0" fontId="0" fillId="0" borderId="0" xfId="0" applyBorder="1" applyAlignment="1">
      <alignment wrapText="1"/>
    </xf>
    <xf numFmtId="0" fontId="7" fillId="0" borderId="0" xfId="2"/>
    <xf numFmtId="11" fontId="0" fillId="0" borderId="0" xfId="0" applyNumberFormat="1" applyFont="1" applyFill="1"/>
    <xf numFmtId="0" fontId="5" fillId="0" borderId="4" xfId="0" applyFont="1" applyBorder="1" applyAlignment="1">
      <alignment vertical="center"/>
    </xf>
    <xf numFmtId="11" fontId="0" fillId="0" borderId="4" xfId="0" applyNumberFormat="1" applyBorder="1" applyAlignment="1">
      <alignment wrapText="1"/>
    </xf>
    <xf numFmtId="11" fontId="0" fillId="4" borderId="4" xfId="0" applyNumberFormat="1" applyFill="1" applyBorder="1" applyAlignment="1">
      <alignment wrapText="1"/>
    </xf>
    <xf numFmtId="11" fontId="0" fillId="6" borderId="4" xfId="0" applyNumberFormat="1" applyFill="1" applyBorder="1" applyAlignment="1">
      <alignment wrapText="1"/>
    </xf>
    <xf numFmtId="11" fontId="0" fillId="7" borderId="4" xfId="0" applyNumberFormat="1" applyFill="1" applyBorder="1" applyAlignment="1">
      <alignment wrapText="1"/>
    </xf>
    <xf numFmtId="11" fontId="0" fillId="5" borderId="4" xfId="0" applyNumberFormat="1" applyFill="1" applyBorder="1" applyAlignment="1">
      <alignment wrapText="1"/>
    </xf>
    <xf numFmtId="11" fontId="0" fillId="2" borderId="0" xfId="0" applyNumberFormat="1" applyFont="1" applyFill="1"/>
    <xf numFmtId="0" fontId="0" fillId="0" borderId="0" xfId="0" applyFont="1" applyFill="1"/>
    <xf numFmtId="0" fontId="1" fillId="0" borderId="4" xfId="0" applyFont="1" applyBorder="1"/>
    <xf numFmtId="0" fontId="0" fillId="0" borderId="4" xfId="0" applyFont="1" applyBorder="1"/>
    <xf numFmtId="11" fontId="0" fillId="0" borderId="0" xfId="0" applyNumberFormat="1" applyBorder="1"/>
    <xf numFmtId="0" fontId="0" fillId="0" borderId="8" xfId="0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4" xfId="0" applyFont="1" applyFill="1" applyBorder="1"/>
    <xf numFmtId="0" fontId="4" fillId="0" borderId="4" xfId="0" applyFont="1" applyFill="1" applyBorder="1" applyAlignment="1">
      <alignment vertical="center"/>
    </xf>
    <xf numFmtId="0" fontId="0" fillId="2" borderId="0" xfId="0" applyFont="1" applyFill="1"/>
    <xf numFmtId="0" fontId="1" fillId="0" borderId="4" xfId="0" applyFont="1" applyFill="1" applyBorder="1"/>
    <xf numFmtId="0" fontId="0" fillId="0" borderId="4" xfId="0" applyFill="1" applyBorder="1"/>
    <xf numFmtId="0" fontId="0" fillId="0" borderId="8" xfId="0" applyFont="1" applyBorder="1"/>
    <xf numFmtId="11" fontId="0" fillId="0" borderId="0" xfId="0" applyNumberFormat="1" applyFont="1"/>
    <xf numFmtId="11" fontId="0" fillId="0" borderId="4" xfId="0" applyNumberFormat="1" applyFont="1" applyBorder="1"/>
    <xf numFmtId="11" fontId="0" fillId="0" borderId="0" xfId="0" applyNumberFormat="1" applyFill="1" applyBorder="1"/>
    <xf numFmtId="0" fontId="4" fillId="0" borderId="4" xfId="0" applyFont="1" applyBorder="1" applyAlignment="1">
      <alignment vertical="center"/>
    </xf>
    <xf numFmtId="0" fontId="0" fillId="4" borderId="4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8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NumberFormat="1"/>
    <xf numFmtId="0" fontId="7" fillId="0" borderId="0" xfId="2" applyAlignment="1">
      <alignment horizontal="left" vertical="center" indent="2"/>
    </xf>
    <xf numFmtId="0" fontId="0" fillId="0" borderId="0" xfId="0" applyFont="1" applyBorder="1"/>
    <xf numFmtId="0" fontId="9" fillId="0" borderId="0" xfId="0" applyFont="1" applyAlignment="1">
      <alignment horizontal="left" vertical="center" indent="2"/>
    </xf>
    <xf numFmtId="0" fontId="0" fillId="0" borderId="0" xfId="0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165" fontId="0" fillId="0" borderId="0" xfId="0" applyNumberFormat="1" applyFill="1"/>
    <xf numFmtId="10" fontId="0" fillId="0" borderId="0" xfId="0" applyNumberFormat="1" applyFill="1"/>
    <xf numFmtId="0" fontId="0" fillId="10" borderId="0" xfId="0" applyFill="1"/>
    <xf numFmtId="10" fontId="0" fillId="10" borderId="0" xfId="0" applyNumberFormat="1" applyFill="1"/>
    <xf numFmtId="165" fontId="0" fillId="10" borderId="0" xfId="0" applyNumberFormat="1" applyFill="1"/>
    <xf numFmtId="0" fontId="14" fillId="0" borderId="0" xfId="0" applyFont="1" applyFill="1"/>
    <xf numFmtId="0" fontId="14" fillId="0" borderId="0" xfId="0" applyFont="1"/>
    <xf numFmtId="0" fontId="14" fillId="8" borderId="0" xfId="0" applyFont="1" applyFill="1" applyAlignment="1">
      <alignment horizontal="center"/>
    </xf>
    <xf numFmtId="0" fontId="14" fillId="7" borderId="0" xfId="0" applyFont="1" applyFill="1"/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left" indent="2"/>
    </xf>
    <xf numFmtId="0" fontId="14" fillId="9" borderId="0" xfId="0" applyFont="1" applyFill="1"/>
    <xf numFmtId="0" fontId="14" fillId="10" borderId="0" xfId="0" applyFont="1" applyFill="1" applyAlignment="1">
      <alignment horizontal="left" indent="2"/>
    </xf>
    <xf numFmtId="0" fontId="14" fillId="10" borderId="0" xfId="0" applyFont="1" applyFill="1"/>
    <xf numFmtId="0" fontId="14" fillId="10" borderId="0" xfId="0" applyFont="1" applyFill="1" applyAlignment="1">
      <alignment horizontal="left" indent="1"/>
    </xf>
    <xf numFmtId="11" fontId="14" fillId="10" borderId="0" xfId="0" applyNumberFormat="1" applyFont="1" applyFill="1"/>
    <xf numFmtId="0" fontId="14" fillId="0" borderId="0" xfId="0" applyFont="1" applyFill="1" applyAlignment="1">
      <alignment horizontal="left" wrapText="1" indent="2"/>
    </xf>
    <xf numFmtId="0" fontId="14" fillId="0" borderId="0" xfId="0" applyFont="1" applyFill="1" applyAlignment="1">
      <alignment horizontal="left" indent="3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 indent="4"/>
    </xf>
    <xf numFmtId="0" fontId="14" fillId="0" borderId="0" xfId="0" applyFont="1" applyFill="1" applyAlignment="1">
      <alignment horizontal="left" indent="5"/>
    </xf>
    <xf numFmtId="0" fontId="14" fillId="0" borderId="0" xfId="0" applyFont="1" applyAlignment="1">
      <alignment horizontal="left" indent="1"/>
    </xf>
    <xf numFmtId="11" fontId="14" fillId="0" borderId="0" xfId="0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Alignment="1">
      <alignment horizontal="left" indent="2"/>
    </xf>
    <xf numFmtId="0" fontId="14" fillId="2" borderId="0" xfId="0" applyFont="1" applyFill="1" applyAlignment="1">
      <alignment horizontal="center"/>
    </xf>
    <xf numFmtId="0" fontId="14" fillId="0" borderId="0" xfId="0" applyFont="1" applyFill="1" applyAlignment="1"/>
    <xf numFmtId="0" fontId="11" fillId="0" borderId="0" xfId="0" applyFont="1" applyAlignment="1">
      <alignment horizontal="center"/>
    </xf>
    <xf numFmtId="0" fontId="0" fillId="0" borderId="0" xfId="0" applyBorder="1"/>
    <xf numFmtId="0" fontId="0" fillId="8" borderId="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/>
    <xf numFmtId="0" fontId="1" fillId="2" borderId="12" xfId="0" applyFont="1" applyFill="1" applyBorder="1"/>
    <xf numFmtId="0" fontId="0" fillId="0" borderId="12" xfId="0" applyBorder="1" applyAlignment="1">
      <alignment wrapText="1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center" wrapText="1"/>
    </xf>
    <xf numFmtId="0" fontId="4" fillId="11" borderId="0" xfId="0" applyFont="1" applyFill="1" applyBorder="1" applyAlignment="1">
      <alignment vertical="center" wrapText="1"/>
    </xf>
    <xf numFmtId="0" fontId="4" fillId="11" borderId="12" xfId="0" applyFont="1" applyFill="1" applyBorder="1" applyAlignment="1">
      <alignment vertical="center" wrapText="1"/>
    </xf>
    <xf numFmtId="0" fontId="0" fillId="11" borderId="0" xfId="0" applyFill="1" applyAlignment="1">
      <alignment wrapText="1"/>
    </xf>
    <xf numFmtId="0" fontId="0" fillId="0" borderId="13" xfId="0" applyBorder="1"/>
    <xf numFmtId="11" fontId="0" fillId="0" borderId="13" xfId="0" applyNumberFormat="1" applyFill="1" applyBorder="1"/>
    <xf numFmtId="11" fontId="0" fillId="0" borderId="13" xfId="0" applyNumberFormat="1" applyBorder="1"/>
    <xf numFmtId="0" fontId="6" fillId="0" borderId="8" xfId="0" applyFont="1" applyBorder="1" applyAlignment="1">
      <alignment horizontal="left" vertical="center"/>
    </xf>
    <xf numFmtId="0" fontId="0" fillId="11" borderId="0" xfId="0" applyFill="1"/>
    <xf numFmtId="0" fontId="0" fillId="11" borderId="8" xfId="0" applyFill="1" applyBorder="1"/>
    <xf numFmtId="0" fontId="0" fillId="11" borderId="8" xfId="0" applyFill="1" applyBorder="1" applyAlignment="1">
      <alignment wrapText="1"/>
    </xf>
    <xf numFmtId="0" fontId="1" fillId="11" borderId="0" xfId="0" applyFont="1" applyFill="1" applyAlignment="1">
      <alignment vertical="center"/>
    </xf>
    <xf numFmtId="0" fontId="1" fillId="11" borderId="12" xfId="0" applyFont="1" applyFill="1" applyBorder="1" applyAlignment="1">
      <alignment vertical="center"/>
    </xf>
    <xf numFmtId="0" fontId="0" fillId="2" borderId="12" xfId="0" applyFill="1" applyBorder="1"/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/>
    <xf numFmtId="168" fontId="0" fillId="0" borderId="0" xfId="1" applyNumberFormat="1" applyFont="1"/>
    <xf numFmtId="0" fontId="4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4" fillId="2" borderId="0" xfId="0" applyFont="1" applyFill="1" applyAlignment="1">
      <alignment horizontal="center"/>
    </xf>
    <xf numFmtId="10" fontId="14" fillId="0" borderId="0" xfId="0" applyNumberFormat="1" applyFont="1"/>
    <xf numFmtId="11" fontId="14" fillId="7" borderId="0" xfId="0" applyNumberFormat="1" applyFont="1" applyFill="1"/>
    <xf numFmtId="0" fontId="14" fillId="7" borderId="0" xfId="0" applyFont="1" applyFill="1" applyAlignment="1">
      <alignment horizontal="left"/>
    </xf>
    <xf numFmtId="165" fontId="14" fillId="0" borderId="0" xfId="0" applyNumberFormat="1" applyFont="1" applyFill="1"/>
    <xf numFmtId="0" fontId="14" fillId="10" borderId="0" xfId="0" applyFont="1" applyFill="1" applyAlignment="1">
      <alignment horizontal="left" indent="4"/>
    </xf>
    <xf numFmtId="169" fontId="14" fillId="0" borderId="0" xfId="0" applyNumberFormat="1" applyFont="1" applyFill="1"/>
    <xf numFmtId="0" fontId="14" fillId="8" borderId="0" xfId="0" applyFont="1" applyFill="1"/>
    <xf numFmtId="0" fontId="14" fillId="12" borderId="0" xfId="0" applyFont="1" applyFill="1"/>
    <xf numFmtId="0" fontId="14" fillId="0" borderId="0" xfId="0" applyFont="1" applyFill="1" applyAlignment="1">
      <alignment horizontal="left" indent="6"/>
    </xf>
    <xf numFmtId="0" fontId="14" fillId="0" borderId="0" xfId="0" applyFont="1" applyFill="1" applyAlignment="1">
      <alignment horizontal="left" indent="7"/>
    </xf>
    <xf numFmtId="10" fontId="14" fillId="10" borderId="0" xfId="0" applyNumberFormat="1" applyFont="1" applyFill="1"/>
    <xf numFmtId="10" fontId="14" fillId="0" borderId="0" xfId="0" applyNumberFormat="1" applyFont="1" applyFill="1"/>
    <xf numFmtId="168" fontId="14" fillId="10" borderId="0" xfId="0" applyNumberFormat="1" applyFont="1" applyFill="1"/>
    <xf numFmtId="0" fontId="14" fillId="8" borderId="0" xfId="0" applyFont="1" applyFill="1" applyAlignment="1">
      <alignment horizontal="left" indent="2"/>
    </xf>
    <xf numFmtId="0" fontId="14" fillId="13" borderId="0" xfId="0" applyFont="1" applyFill="1" applyAlignment="1">
      <alignment horizontal="left" indent="2"/>
    </xf>
    <xf numFmtId="0" fontId="14" fillId="8" borderId="0" xfId="0" applyFont="1" applyFill="1" applyAlignment="1">
      <alignment horizontal="left" indent="1"/>
    </xf>
    <xf numFmtId="0" fontId="14" fillId="13" borderId="0" xfId="0" applyFont="1" applyFill="1"/>
    <xf numFmtId="0" fontId="0" fillId="2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7" borderId="0" xfId="0" applyFont="1" applyFill="1"/>
    <xf numFmtId="10" fontId="0" fillId="0" borderId="0" xfId="0" applyNumberFormat="1" applyFont="1"/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0" fillId="9" borderId="0" xfId="0" applyFont="1" applyFill="1"/>
    <xf numFmtId="165" fontId="0" fillId="0" borderId="0" xfId="0" applyNumberFormat="1" applyFont="1" applyFill="1"/>
    <xf numFmtId="10" fontId="0" fillId="0" borderId="0" xfId="0" applyNumberFormat="1" applyFont="1" applyFill="1"/>
    <xf numFmtId="0" fontId="0" fillId="10" borderId="0" xfId="0" applyFont="1" applyFill="1" applyAlignment="1">
      <alignment horizontal="left" indent="2"/>
    </xf>
    <xf numFmtId="0" fontId="0" fillId="10" borderId="0" xfId="0" applyFont="1" applyFill="1"/>
    <xf numFmtId="10" fontId="0" fillId="10" borderId="0" xfId="0" applyNumberFormat="1" applyFont="1" applyFill="1"/>
    <xf numFmtId="0" fontId="0" fillId="10" borderId="0" xfId="0" applyFont="1" applyFill="1" applyAlignment="1">
      <alignment horizontal="left" indent="1"/>
    </xf>
    <xf numFmtId="11" fontId="0" fillId="10" borderId="0" xfId="0" applyNumberFormat="1" applyFont="1" applyFill="1"/>
    <xf numFmtId="165" fontId="0" fillId="10" borderId="0" xfId="0" applyNumberFormat="1" applyFont="1" applyFill="1"/>
    <xf numFmtId="0" fontId="0" fillId="0" borderId="0" xfId="0" applyFont="1" applyFill="1" applyAlignment="1">
      <alignment horizontal="left" wrapText="1" indent="2"/>
    </xf>
    <xf numFmtId="0" fontId="0" fillId="0" borderId="0" xfId="0" applyFont="1" applyFill="1" applyAlignment="1">
      <alignment horizontal="left" indent="3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 indent="4"/>
    </xf>
    <xf numFmtId="0" fontId="0" fillId="0" borderId="0" xfId="0" applyFont="1" applyFill="1" applyAlignment="1">
      <alignment horizontal="left" indent="5"/>
    </xf>
    <xf numFmtId="0" fontId="0" fillId="0" borderId="0" xfId="0" applyFont="1" applyAlignment="1">
      <alignment horizontal="left" inden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 indent="2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/>
    <xf numFmtId="0" fontId="1" fillId="10" borderId="0" xfId="0" applyFont="1" applyFill="1"/>
    <xf numFmtId="168" fontId="1" fillId="10" borderId="0" xfId="1" applyNumberFormat="1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34</xdr:row>
      <xdr:rowOff>0</xdr:rowOff>
    </xdr:from>
    <xdr:to>
      <xdr:col>17</xdr:col>
      <xdr:colOff>218722</xdr:colOff>
      <xdr:row>58</xdr:row>
      <xdr:rowOff>134056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0" y="8092722"/>
          <a:ext cx="11549944" cy="4536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515056</xdr:colOff>
      <xdr:row>30</xdr:row>
      <xdr:rowOff>183444</xdr:rowOff>
    </xdr:from>
    <xdr:to>
      <xdr:col>20</xdr:col>
      <xdr:colOff>204611</xdr:colOff>
      <xdr:row>53</xdr:row>
      <xdr:rowOff>21165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056" y="7351888"/>
          <a:ext cx="11204222" cy="4063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17</xdr:col>
      <xdr:colOff>444500</xdr:colOff>
      <xdr:row>51</xdr:row>
      <xdr:rowOff>77612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167" y="6801556"/>
          <a:ext cx="10152944" cy="374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plca.jrc.ec.europa.eu/LCDN/developerILCD.x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/>
  </sheetViews>
  <sheetFormatPr defaultRowHeight="14.5" x14ac:dyDescent="0.35"/>
  <cols>
    <col min="1" max="1" width="20.7265625" customWidth="1"/>
    <col min="2" max="2" width="10.7265625" customWidth="1"/>
    <col min="3" max="4" width="9.81640625" customWidth="1"/>
    <col min="5" max="5" width="24.08984375" customWidth="1"/>
    <col min="6" max="6" width="9.6328125" customWidth="1"/>
    <col min="9" max="9" width="14.7265625" customWidth="1"/>
  </cols>
  <sheetData>
    <row r="1" spans="1:2" ht="21" x14ac:dyDescent="0.5">
      <c r="A1" s="41" t="s">
        <v>78</v>
      </c>
      <c r="B1" t="s">
        <v>79</v>
      </c>
    </row>
    <row r="2" spans="1:2" x14ac:dyDescent="0.35">
      <c r="A2" t="s">
        <v>532</v>
      </c>
      <c r="B2" t="s">
        <v>533</v>
      </c>
    </row>
    <row r="4" spans="1:2" x14ac:dyDescent="0.35">
      <c r="A4" t="s">
        <v>148</v>
      </c>
    </row>
    <row r="5" spans="1:2" x14ac:dyDescent="0.35">
      <c r="A5" t="s">
        <v>80</v>
      </c>
    </row>
    <row r="6" spans="1:2" x14ac:dyDescent="0.35">
      <c r="B6" t="s">
        <v>119</v>
      </c>
    </row>
    <row r="7" spans="1:2" x14ac:dyDescent="0.35">
      <c r="B7" t="s">
        <v>120</v>
      </c>
    </row>
    <row r="9" spans="1:2" x14ac:dyDescent="0.35">
      <c r="A9" t="s">
        <v>81</v>
      </c>
    </row>
    <row r="10" spans="1:2" x14ac:dyDescent="0.35">
      <c r="B10" t="s">
        <v>117</v>
      </c>
    </row>
    <row r="11" spans="1:2" x14ac:dyDescent="0.35">
      <c r="B11" s="86" t="s">
        <v>118</v>
      </c>
    </row>
    <row r="12" spans="1:2" x14ac:dyDescent="0.35">
      <c r="A12" s="84"/>
    </row>
    <row r="13" spans="1:2" x14ac:dyDescent="0.35">
      <c r="A13" s="5" t="s">
        <v>121</v>
      </c>
    </row>
    <row r="14" spans="1:2" x14ac:dyDescent="0.35">
      <c r="A14" t="s">
        <v>122</v>
      </c>
    </row>
    <row r="15" spans="1:2" x14ac:dyDescent="0.35">
      <c r="A15" t="s">
        <v>123</v>
      </c>
    </row>
    <row r="16" spans="1:2" x14ac:dyDescent="0.35">
      <c r="A16" t="s">
        <v>124</v>
      </c>
    </row>
    <row r="18" spans="1:10" x14ac:dyDescent="0.35">
      <c r="A18" s="5" t="s">
        <v>135</v>
      </c>
    </row>
    <row r="20" spans="1:10" x14ac:dyDescent="0.35">
      <c r="A20" s="96" t="s">
        <v>136</v>
      </c>
      <c r="B20" s="96"/>
      <c r="C20" s="96"/>
      <c r="D20" s="96"/>
      <c r="E20" s="96" t="s">
        <v>137</v>
      </c>
      <c r="F20" s="96"/>
      <c r="G20" s="96"/>
      <c r="H20" s="96"/>
      <c r="I20" s="95" t="s">
        <v>151</v>
      </c>
    </row>
    <row r="21" spans="1:10" x14ac:dyDescent="0.35">
      <c r="A21" s="88" t="s">
        <v>138</v>
      </c>
      <c r="B21" s="88">
        <v>14.68</v>
      </c>
      <c r="C21" s="87" t="s">
        <v>139</v>
      </c>
      <c r="D21" s="87"/>
      <c r="E21" s="88" t="s">
        <v>140</v>
      </c>
      <c r="F21" s="89">
        <v>5.4819000000000004</v>
      </c>
      <c r="G21" s="87"/>
      <c r="H21" s="87"/>
      <c r="I21" t="s">
        <v>152</v>
      </c>
    </row>
    <row r="22" spans="1:10" x14ac:dyDescent="0.35">
      <c r="A22" s="88" t="s">
        <v>141</v>
      </c>
      <c r="B22" s="88">
        <v>1.0082</v>
      </c>
      <c r="C22" s="87" t="s">
        <v>139</v>
      </c>
      <c r="D22" s="87"/>
      <c r="E22" s="87"/>
      <c r="F22" s="87"/>
      <c r="G22" s="87"/>
      <c r="H22" s="87"/>
    </row>
    <row r="23" spans="1:10" ht="29" x14ac:dyDescent="0.35">
      <c r="A23" s="85" t="s">
        <v>142</v>
      </c>
      <c r="B23" s="90" t="s">
        <v>143</v>
      </c>
      <c r="C23" s="91" t="s">
        <v>130</v>
      </c>
      <c r="D23" s="87"/>
      <c r="E23" s="85" t="s">
        <v>144</v>
      </c>
      <c r="F23" s="90" t="s">
        <v>143</v>
      </c>
      <c r="G23" s="91" t="s">
        <v>130</v>
      </c>
      <c r="H23" s="87"/>
      <c r="J23" s="11" t="s">
        <v>143</v>
      </c>
    </row>
    <row r="24" spans="1:10" x14ac:dyDescent="0.35">
      <c r="A24" s="92" t="s">
        <v>145</v>
      </c>
      <c r="B24" s="93">
        <v>0.2732</v>
      </c>
      <c r="C24" s="94">
        <v>3.5000000000000003E-2</v>
      </c>
      <c r="D24" s="87"/>
      <c r="E24" s="92" t="s">
        <v>125</v>
      </c>
      <c r="F24" s="93">
        <v>0.48849999999999999</v>
      </c>
      <c r="G24" s="94">
        <v>2.5999999999999999E-2</v>
      </c>
      <c r="H24" s="87"/>
      <c r="I24" t="s">
        <v>149</v>
      </c>
      <c r="J24">
        <v>1</v>
      </c>
    </row>
    <row r="25" spans="1:10" x14ac:dyDescent="0.35">
      <c r="A25" s="92" t="s">
        <v>126</v>
      </c>
      <c r="B25" s="93">
        <v>2.6385999999999998</v>
      </c>
      <c r="C25" s="94">
        <v>4.0000000000000001E-3</v>
      </c>
      <c r="D25" s="87"/>
      <c r="E25" s="92" t="s">
        <v>131</v>
      </c>
      <c r="F25" s="93">
        <v>0.57799999999999996</v>
      </c>
      <c r="G25" s="94">
        <v>2.3E-2</v>
      </c>
      <c r="H25" s="87"/>
      <c r="I25" t="s">
        <v>150</v>
      </c>
      <c r="J25">
        <v>14.8</v>
      </c>
    </row>
    <row r="26" spans="1:10" x14ac:dyDescent="0.35">
      <c r="A26" s="92" t="s">
        <v>127</v>
      </c>
      <c r="B26" s="93">
        <v>0.1</v>
      </c>
      <c r="C26" s="94">
        <v>1.9E-2</v>
      </c>
      <c r="D26" s="87"/>
      <c r="E26" s="92" t="s">
        <v>132</v>
      </c>
      <c r="F26" s="93">
        <v>7.3635999999999999</v>
      </c>
      <c r="G26" s="94">
        <v>2.1999999999999999E-2</v>
      </c>
      <c r="H26" s="87"/>
    </row>
    <row r="27" spans="1:10" x14ac:dyDescent="0.35">
      <c r="A27" s="92" t="s">
        <v>128</v>
      </c>
      <c r="B27" s="93">
        <v>9.8900000000000002E-2</v>
      </c>
      <c r="C27" s="94">
        <v>0.154</v>
      </c>
      <c r="D27" s="87"/>
      <c r="E27" s="92" t="s">
        <v>133</v>
      </c>
      <c r="F27" s="93">
        <v>0.88670000000000004</v>
      </c>
      <c r="G27" s="94">
        <v>3.5000000000000003E-2</v>
      </c>
      <c r="H27" s="87"/>
    </row>
    <row r="28" spans="1:10" x14ac:dyDescent="0.35">
      <c r="A28" s="92" t="s">
        <v>129</v>
      </c>
      <c r="B28" s="93">
        <v>1.429</v>
      </c>
      <c r="C28" s="94">
        <v>1.6E-2</v>
      </c>
      <c r="D28" s="87"/>
      <c r="E28" s="92" t="s">
        <v>134</v>
      </c>
      <c r="F28" s="93">
        <v>0.47449999999999998</v>
      </c>
      <c r="G28" s="94">
        <v>1.7000000000000001E-2</v>
      </c>
      <c r="H28" s="87"/>
    </row>
    <row r="29" spans="1:10" x14ac:dyDescent="0.35">
      <c r="A29" s="92" t="s">
        <v>146</v>
      </c>
      <c r="B29" s="93">
        <f>SUM(B24:B28)+SUM(B21:B22)/18</f>
        <v>5.4112666666666662</v>
      </c>
      <c r="C29" s="94">
        <v>6.0000000000000001E-3</v>
      </c>
      <c r="D29" s="87"/>
      <c r="E29" s="92" t="s">
        <v>147</v>
      </c>
      <c r="F29" s="93">
        <f>SUM(F24:F28)+F21/24</f>
        <v>10.019712499999999</v>
      </c>
      <c r="G29" s="94">
        <v>1.4999999999999999E-2</v>
      </c>
      <c r="H29" s="87"/>
    </row>
  </sheetData>
  <mergeCells count="2">
    <mergeCell ref="A20:D20"/>
    <mergeCell ref="E20:H2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9"/>
  <sheetViews>
    <sheetView topLeftCell="B53" workbookViewId="0">
      <selection activeCell="D14" sqref="D14"/>
    </sheetView>
  </sheetViews>
  <sheetFormatPr defaultRowHeight="14.5" x14ac:dyDescent="0.35"/>
  <cols>
    <col min="1" max="1" width="46.08984375" style="87" customWidth="1"/>
    <col min="2" max="2" width="65.81640625" style="87" customWidth="1"/>
    <col min="3" max="3" width="15.453125" style="87" customWidth="1"/>
    <col min="4" max="4" width="8.7265625" style="87"/>
    <col min="6" max="6" width="41.08984375" customWidth="1"/>
    <col min="7" max="7" width="8.7265625" style="156"/>
  </cols>
  <sheetData>
    <row r="1" spans="1:8" ht="18.5" x14ac:dyDescent="0.45">
      <c r="A1" s="157" t="s">
        <v>394</v>
      </c>
    </row>
    <row r="2" spans="1:8" x14ac:dyDescent="0.35">
      <c r="A2" s="98" t="s">
        <v>203</v>
      </c>
      <c r="B2" s="98" t="s">
        <v>204</v>
      </c>
    </row>
    <row r="3" spans="1:8" x14ac:dyDescent="0.35">
      <c r="A3" s="178" t="s">
        <v>206</v>
      </c>
      <c r="B3" s="178"/>
    </row>
    <row r="4" spans="1:8" x14ac:dyDescent="0.35">
      <c r="A4" s="52" t="s">
        <v>207</v>
      </c>
      <c r="B4" s="87" t="s">
        <v>208</v>
      </c>
      <c r="C4" s="87">
        <v>3.7400000000000003E-2</v>
      </c>
      <c r="D4" s="87" t="s">
        <v>22</v>
      </c>
      <c r="F4" t="s">
        <v>199</v>
      </c>
    </row>
    <row r="5" spans="1:8" x14ac:dyDescent="0.35">
      <c r="A5" s="52" t="s">
        <v>209</v>
      </c>
      <c r="B5" s="87" t="s">
        <v>210</v>
      </c>
      <c r="F5" s="203" t="s">
        <v>153</v>
      </c>
      <c r="G5" s="204" t="s">
        <v>154</v>
      </c>
      <c r="H5" s="104"/>
    </row>
    <row r="6" spans="1:8" x14ac:dyDescent="0.35">
      <c r="F6" t="s">
        <v>155</v>
      </c>
      <c r="G6" s="156">
        <v>3.2236398717320849E-6</v>
      </c>
    </row>
    <row r="7" spans="1:8" x14ac:dyDescent="0.35">
      <c r="A7" s="179" t="s">
        <v>211</v>
      </c>
      <c r="B7" s="179"/>
      <c r="C7" s="99" t="s">
        <v>205</v>
      </c>
      <c r="F7" t="s">
        <v>326</v>
      </c>
      <c r="G7" s="156">
        <v>6.6001305882352928E-5</v>
      </c>
    </row>
    <row r="8" spans="1:8" x14ac:dyDescent="0.35">
      <c r="A8" s="52" t="s">
        <v>212</v>
      </c>
      <c r="B8" s="180" t="s">
        <v>531</v>
      </c>
      <c r="C8" s="181">
        <f>0.0147/C4</f>
        <v>0.39304812834224595</v>
      </c>
      <c r="F8" t="s">
        <v>156</v>
      </c>
      <c r="G8" s="156">
        <v>1.0174552488770053E-5</v>
      </c>
    </row>
    <row r="9" spans="1:8" x14ac:dyDescent="0.35">
      <c r="A9" s="52"/>
      <c r="B9" s="52" t="s">
        <v>214</v>
      </c>
      <c r="C9" s="181"/>
      <c r="F9" t="s">
        <v>157</v>
      </c>
      <c r="G9" s="156">
        <v>8.634224598930481E-4</v>
      </c>
    </row>
    <row r="10" spans="1:8" x14ac:dyDescent="0.35">
      <c r="A10" s="182" t="s">
        <v>165</v>
      </c>
      <c r="B10" s="52" t="s">
        <v>215</v>
      </c>
      <c r="C10" s="181">
        <f>0.0383*C8</f>
        <v>1.505374331550802E-2</v>
      </c>
      <c r="F10" t="s">
        <v>395</v>
      </c>
      <c r="G10" s="156">
        <v>3.86982192513369E-3</v>
      </c>
    </row>
    <row r="11" spans="1:8" x14ac:dyDescent="0.35">
      <c r="A11" s="183" t="s">
        <v>216</v>
      </c>
      <c r="B11" s="52" t="s">
        <v>217</v>
      </c>
      <c r="C11" s="181"/>
      <c r="F11" t="s">
        <v>159</v>
      </c>
      <c r="G11" s="156">
        <v>2.0382359128841708E-3</v>
      </c>
    </row>
    <row r="12" spans="1:8" x14ac:dyDescent="0.35">
      <c r="A12" s="183" t="s">
        <v>218</v>
      </c>
      <c r="B12" s="87" t="s">
        <v>219</v>
      </c>
      <c r="C12" s="181"/>
      <c r="F12" t="s">
        <v>322</v>
      </c>
      <c r="G12" s="156">
        <v>1.2991978609625665E-5</v>
      </c>
    </row>
    <row r="13" spans="1:8" x14ac:dyDescent="0.35">
      <c r="A13" s="183" t="s">
        <v>220</v>
      </c>
      <c r="B13" s="87" t="s">
        <v>221</v>
      </c>
      <c r="C13" s="181"/>
      <c r="F13" t="s">
        <v>161</v>
      </c>
      <c r="G13" s="156">
        <v>1.3468653144385027E-6</v>
      </c>
    </row>
    <row r="14" spans="1:8" x14ac:dyDescent="0.35">
      <c r="A14" s="183" t="s">
        <v>222</v>
      </c>
      <c r="B14" s="87" t="s">
        <v>223</v>
      </c>
      <c r="C14" s="181"/>
      <c r="F14" t="s">
        <v>162</v>
      </c>
      <c r="G14" s="156">
        <v>7.52182769037433E-8</v>
      </c>
    </row>
    <row r="15" spans="1:8" x14ac:dyDescent="0.35">
      <c r="A15" s="183" t="s">
        <v>224</v>
      </c>
      <c r="B15" s="87" t="s">
        <v>225</v>
      </c>
      <c r="C15" s="181"/>
      <c r="F15" t="s">
        <v>163</v>
      </c>
      <c r="G15" s="156">
        <v>8.9393341716577536E-9</v>
      </c>
    </row>
    <row r="16" spans="1:8" x14ac:dyDescent="0.35">
      <c r="A16" s="183" t="s">
        <v>226</v>
      </c>
      <c r="B16" s="184" t="s">
        <v>227</v>
      </c>
      <c r="C16" s="185"/>
      <c r="F16" t="s">
        <v>164</v>
      </c>
      <c r="G16" s="156">
        <v>3.3434784385026748E-6</v>
      </c>
    </row>
    <row r="17" spans="1:7" x14ac:dyDescent="0.35">
      <c r="A17" s="183" t="s">
        <v>228</v>
      </c>
      <c r="B17" s="52" t="s">
        <v>229</v>
      </c>
      <c r="C17" s="186"/>
      <c r="F17" t="s">
        <v>323</v>
      </c>
      <c r="G17" s="156">
        <v>4.6529411764705872E-6</v>
      </c>
    </row>
    <row r="18" spans="1:7" x14ac:dyDescent="0.35">
      <c r="A18" s="183" t="s">
        <v>230</v>
      </c>
      <c r="B18" s="52" t="s">
        <v>231</v>
      </c>
      <c r="C18" s="186"/>
      <c r="F18" t="s">
        <v>166</v>
      </c>
      <c r="G18" s="156">
        <v>1.2209775401069518E-3</v>
      </c>
    </row>
    <row r="19" spans="1:7" x14ac:dyDescent="0.35">
      <c r="A19" s="183" t="s">
        <v>232</v>
      </c>
      <c r="B19" s="52" t="s">
        <v>233</v>
      </c>
      <c r="C19" s="186"/>
      <c r="F19" t="s">
        <v>167</v>
      </c>
      <c r="G19" s="156">
        <v>5.9688770053475926E-4</v>
      </c>
    </row>
    <row r="20" spans="1:7" x14ac:dyDescent="0.35">
      <c r="A20" s="183" t="s">
        <v>234</v>
      </c>
      <c r="B20" s="52" t="s">
        <v>235</v>
      </c>
      <c r="C20" s="186"/>
      <c r="F20" t="s">
        <v>347</v>
      </c>
      <c r="G20" s="156">
        <v>2.1331016042780743E-3</v>
      </c>
    </row>
    <row r="21" spans="1:7" x14ac:dyDescent="0.35">
      <c r="A21" s="183" t="s">
        <v>236</v>
      </c>
      <c r="B21" s="184" t="s">
        <v>237</v>
      </c>
      <c r="C21" s="186"/>
      <c r="F21" t="s">
        <v>168</v>
      </c>
      <c r="G21" s="156">
        <v>1.3834863839610158E-5</v>
      </c>
    </row>
    <row r="22" spans="1:7" x14ac:dyDescent="0.35">
      <c r="A22" s="187" t="s">
        <v>177</v>
      </c>
      <c r="B22" s="188"/>
      <c r="C22" s="189">
        <f>0.05*C10</f>
        <v>7.5268716577540104E-4</v>
      </c>
      <c r="F22" t="s">
        <v>254</v>
      </c>
      <c r="G22" s="156">
        <v>3.3920053475935828E-6</v>
      </c>
    </row>
    <row r="23" spans="1:7" x14ac:dyDescent="0.35">
      <c r="A23" s="183" t="s">
        <v>238</v>
      </c>
      <c r="B23" s="52" t="s">
        <v>239</v>
      </c>
      <c r="C23" s="186"/>
      <c r="F23" t="s">
        <v>348</v>
      </c>
      <c r="G23" s="156">
        <v>5.1363636363636357E-4</v>
      </c>
    </row>
    <row r="24" spans="1:7" x14ac:dyDescent="0.35">
      <c r="A24" s="183" t="s">
        <v>240</v>
      </c>
      <c r="B24" s="52" t="s">
        <v>241</v>
      </c>
      <c r="C24" s="186"/>
      <c r="F24" t="s">
        <v>329</v>
      </c>
      <c r="G24" s="156">
        <v>1.3956303689839569E-5</v>
      </c>
    </row>
    <row r="25" spans="1:7" x14ac:dyDescent="0.35">
      <c r="A25" s="183" t="s">
        <v>242</v>
      </c>
      <c r="B25" s="52" t="s">
        <v>243</v>
      </c>
      <c r="C25" s="186"/>
      <c r="F25" t="s">
        <v>169</v>
      </c>
      <c r="G25" s="156">
        <v>2.9693110810748658E-6</v>
      </c>
    </row>
    <row r="26" spans="1:7" x14ac:dyDescent="0.35">
      <c r="A26" s="183" t="s">
        <v>244</v>
      </c>
      <c r="B26" s="52" t="s">
        <v>245</v>
      </c>
      <c r="C26" s="186"/>
      <c r="F26" t="s">
        <v>170</v>
      </c>
      <c r="G26" s="156">
        <v>2.8044398695187165E-9</v>
      </c>
    </row>
    <row r="27" spans="1:7" x14ac:dyDescent="0.35">
      <c r="A27" s="187" t="s">
        <v>196</v>
      </c>
      <c r="B27" s="188"/>
      <c r="C27" s="189">
        <f>0.05*C10</f>
        <v>7.5268716577540104E-4</v>
      </c>
      <c r="F27" t="s">
        <v>171</v>
      </c>
      <c r="G27" s="156">
        <v>1.201283422459893E-5</v>
      </c>
    </row>
    <row r="28" spans="1:7" x14ac:dyDescent="0.35">
      <c r="A28" s="183" t="s">
        <v>246</v>
      </c>
      <c r="B28" s="184" t="s">
        <v>247</v>
      </c>
      <c r="C28" s="186"/>
      <c r="F28" t="s">
        <v>172</v>
      </c>
      <c r="G28" s="156">
        <v>5.15755614973262E-4</v>
      </c>
    </row>
    <row r="29" spans="1:7" x14ac:dyDescent="0.35">
      <c r="A29" s="183" t="s">
        <v>248</v>
      </c>
      <c r="B29" s="52" t="s">
        <v>249</v>
      </c>
      <c r="C29" s="186"/>
      <c r="F29" t="s">
        <v>350</v>
      </c>
      <c r="G29" s="156">
        <v>1.4351604278074865E-3</v>
      </c>
    </row>
    <row r="30" spans="1:7" x14ac:dyDescent="0.35">
      <c r="A30" s="183" t="s">
        <v>250</v>
      </c>
      <c r="B30" s="52" t="s">
        <v>251</v>
      </c>
      <c r="C30" s="186"/>
      <c r="F30" t="s">
        <v>259</v>
      </c>
      <c r="G30" s="156">
        <v>1.8040909090909091E-3</v>
      </c>
    </row>
    <row r="31" spans="1:7" x14ac:dyDescent="0.35">
      <c r="A31" s="182" t="s">
        <v>252</v>
      </c>
      <c r="B31" s="87" t="s">
        <v>253</v>
      </c>
      <c r="C31" s="181"/>
      <c r="F31" t="s">
        <v>173</v>
      </c>
      <c r="G31" s="156">
        <v>1.002472624524064E-5</v>
      </c>
    </row>
    <row r="32" spans="1:7" x14ac:dyDescent="0.35">
      <c r="A32" s="190" t="s">
        <v>254</v>
      </c>
      <c r="B32" s="191"/>
      <c r="C32" s="192">
        <f>(0.00000863)*C8</f>
        <v>3.3920053475935828E-6</v>
      </c>
      <c r="F32" t="s">
        <v>174</v>
      </c>
      <c r="G32" s="156">
        <v>4.5741176470588232E-5</v>
      </c>
    </row>
    <row r="33" spans="1:7" x14ac:dyDescent="0.35">
      <c r="A33" s="182" t="s">
        <v>255</v>
      </c>
      <c r="B33" s="87" t="s">
        <v>256</v>
      </c>
      <c r="C33" s="181"/>
      <c r="F33" t="s">
        <v>175</v>
      </c>
      <c r="G33" s="156">
        <v>3.1276817181818186E-4</v>
      </c>
    </row>
    <row r="34" spans="1:7" x14ac:dyDescent="0.35">
      <c r="A34" s="182" t="s">
        <v>257</v>
      </c>
      <c r="B34" s="87" t="s">
        <v>256</v>
      </c>
      <c r="C34" s="181"/>
      <c r="F34" t="s">
        <v>176</v>
      </c>
      <c r="G34" s="156">
        <v>2.5411764705882355E-5</v>
      </c>
    </row>
    <row r="35" spans="1:7" x14ac:dyDescent="0.35">
      <c r="A35" s="182" t="s">
        <v>232</v>
      </c>
      <c r="B35" s="87" t="s">
        <v>258</v>
      </c>
      <c r="C35" s="181"/>
      <c r="F35" t="s">
        <v>336</v>
      </c>
      <c r="G35" s="156">
        <v>3.6489814973262018E-7</v>
      </c>
    </row>
    <row r="36" spans="1:7" x14ac:dyDescent="0.35">
      <c r="A36" s="190" t="s">
        <v>259</v>
      </c>
      <c r="B36" s="188"/>
      <c r="C36" s="189">
        <f>0.00459*C8</f>
        <v>1.8040909090909091E-3</v>
      </c>
      <c r="F36" t="s">
        <v>177</v>
      </c>
      <c r="G36" s="156">
        <v>7.5435770053475931E-4</v>
      </c>
    </row>
    <row r="37" spans="1:7" x14ac:dyDescent="0.35">
      <c r="A37" s="182" t="s">
        <v>260</v>
      </c>
      <c r="B37" s="87" t="s">
        <v>261</v>
      </c>
      <c r="C37" s="181"/>
      <c r="F37" t="s">
        <v>178</v>
      </c>
      <c r="G37" s="156">
        <v>1.2058082221925134E-6</v>
      </c>
    </row>
    <row r="38" spans="1:7" x14ac:dyDescent="0.35">
      <c r="A38" s="182" t="s">
        <v>262</v>
      </c>
      <c r="B38" s="87" t="s">
        <v>263</v>
      </c>
      <c r="C38" s="181"/>
      <c r="F38" t="s">
        <v>179</v>
      </c>
      <c r="G38" s="156">
        <v>1.3671862868983957E-8</v>
      </c>
    </row>
    <row r="39" spans="1:7" x14ac:dyDescent="0.35">
      <c r="A39" s="182"/>
      <c r="B39" s="87" t="s">
        <v>264</v>
      </c>
      <c r="C39" s="181"/>
      <c r="F39" t="s">
        <v>180</v>
      </c>
      <c r="G39" s="156">
        <v>4.1680734871187164E-5</v>
      </c>
    </row>
    <row r="40" spans="1:7" x14ac:dyDescent="0.35">
      <c r="A40" s="182" t="s">
        <v>265</v>
      </c>
      <c r="B40" s="87" t="s">
        <v>266</v>
      </c>
      <c r="C40" s="181"/>
      <c r="F40" t="s">
        <v>181</v>
      </c>
      <c r="G40" s="156">
        <v>1.0356706068930479E-5</v>
      </c>
    </row>
    <row r="41" spans="1:7" x14ac:dyDescent="0.35">
      <c r="A41" s="182" t="s">
        <v>236</v>
      </c>
      <c r="B41" s="184" t="s">
        <v>267</v>
      </c>
      <c r="C41" s="181"/>
      <c r="F41" t="s">
        <v>182</v>
      </c>
      <c r="G41" s="156">
        <v>3.6248536106951873E-8</v>
      </c>
    </row>
    <row r="42" spans="1:7" x14ac:dyDescent="0.35">
      <c r="A42" s="193" t="s">
        <v>268</v>
      </c>
      <c r="B42" s="87" t="s">
        <v>269</v>
      </c>
      <c r="C42" s="181"/>
      <c r="F42" t="s">
        <v>183</v>
      </c>
      <c r="G42" s="156">
        <v>3.7540106951871658E-6</v>
      </c>
    </row>
    <row r="43" spans="1:7" x14ac:dyDescent="0.35">
      <c r="A43" s="183" t="s">
        <v>270</v>
      </c>
      <c r="B43" s="87" t="s">
        <v>271</v>
      </c>
      <c r="C43" s="181"/>
      <c r="F43" t="s">
        <v>356</v>
      </c>
      <c r="G43" s="156">
        <v>1.2720053475935827E-4</v>
      </c>
    </row>
    <row r="44" spans="1:7" x14ac:dyDescent="0.35">
      <c r="A44" s="194" t="s">
        <v>272</v>
      </c>
      <c r="B44" s="195" t="s">
        <v>273</v>
      </c>
      <c r="C44" s="181"/>
      <c r="F44" t="s">
        <v>184</v>
      </c>
      <c r="G44" s="156">
        <v>1.4679302876470586E-3</v>
      </c>
    </row>
    <row r="45" spans="1:7" x14ac:dyDescent="0.35">
      <c r="A45" s="196" t="s">
        <v>274</v>
      </c>
      <c r="B45" s="195" t="s">
        <v>275</v>
      </c>
      <c r="C45" s="181"/>
      <c r="F45" t="s">
        <v>185</v>
      </c>
      <c r="G45" s="156">
        <v>1.4438502673796792E-3</v>
      </c>
    </row>
    <row r="46" spans="1:7" x14ac:dyDescent="0.35">
      <c r="A46" s="194" t="s">
        <v>276</v>
      </c>
      <c r="B46" s="52" t="s">
        <v>277</v>
      </c>
      <c r="C46" s="181"/>
      <c r="F46" t="s">
        <v>186</v>
      </c>
      <c r="G46" s="156">
        <v>1.5957169395240639E-6</v>
      </c>
    </row>
    <row r="47" spans="1:7" x14ac:dyDescent="0.35">
      <c r="A47" s="196" t="s">
        <v>278</v>
      </c>
      <c r="B47" s="87" t="s">
        <v>279</v>
      </c>
      <c r="C47" s="181"/>
      <c r="F47" t="s">
        <v>343</v>
      </c>
      <c r="G47" s="156">
        <v>1.0968299679144381E-6</v>
      </c>
    </row>
    <row r="48" spans="1:7" x14ac:dyDescent="0.35">
      <c r="A48" s="197" t="s">
        <v>274</v>
      </c>
      <c r="B48" s="87" t="s">
        <v>275</v>
      </c>
      <c r="C48" s="181"/>
      <c r="F48" t="s">
        <v>187</v>
      </c>
      <c r="G48" s="156">
        <v>6.6792513368983957E-4</v>
      </c>
    </row>
    <row r="49" spans="1:7" x14ac:dyDescent="0.35">
      <c r="A49" s="194" t="s">
        <v>280</v>
      </c>
      <c r="B49" s="52" t="s">
        <v>281</v>
      </c>
      <c r="C49" s="181"/>
      <c r="F49" t="s">
        <v>302</v>
      </c>
      <c r="G49" s="156">
        <v>4.598663101604278E-4</v>
      </c>
    </row>
    <row r="50" spans="1:7" x14ac:dyDescent="0.35">
      <c r="A50" s="183" t="s">
        <v>282</v>
      </c>
      <c r="B50" s="52" t="s">
        <v>283</v>
      </c>
      <c r="C50" s="182"/>
      <c r="F50" t="s">
        <v>188</v>
      </c>
      <c r="G50" s="156">
        <v>2.9067470588235284E-3</v>
      </c>
    </row>
    <row r="51" spans="1:7" x14ac:dyDescent="0.35">
      <c r="A51" s="194" t="s">
        <v>284</v>
      </c>
      <c r="B51" s="87" t="s">
        <v>269</v>
      </c>
      <c r="C51" s="181"/>
      <c r="F51" t="s">
        <v>189</v>
      </c>
      <c r="G51" s="156">
        <v>3.1909090909090916E-6</v>
      </c>
    </row>
    <row r="52" spans="1:7" x14ac:dyDescent="0.35">
      <c r="A52" s="194" t="s">
        <v>285</v>
      </c>
      <c r="C52" s="181"/>
      <c r="F52" t="s">
        <v>190</v>
      </c>
      <c r="G52" s="156">
        <v>3.7039957219251345E-7</v>
      </c>
    </row>
    <row r="53" spans="1:7" x14ac:dyDescent="0.35">
      <c r="A53" s="194" t="s">
        <v>286</v>
      </c>
      <c r="F53" t="s">
        <v>360</v>
      </c>
      <c r="G53" s="156">
        <v>7.1606951871657754E-5</v>
      </c>
    </row>
    <row r="54" spans="1:7" x14ac:dyDescent="0.35">
      <c r="A54" s="194" t="s">
        <v>270</v>
      </c>
      <c r="B54" s="87" t="s">
        <v>287</v>
      </c>
      <c r="F54" t="s">
        <v>191</v>
      </c>
      <c r="G54" s="156">
        <v>3.1909090909090916E-6</v>
      </c>
    </row>
    <row r="55" spans="1:7" x14ac:dyDescent="0.35">
      <c r="A55" s="194" t="s">
        <v>288</v>
      </c>
      <c r="F55" t="s">
        <v>192</v>
      </c>
      <c r="G55" s="156">
        <v>9.0555262678139042E-3</v>
      </c>
    </row>
    <row r="56" spans="1:7" x14ac:dyDescent="0.35">
      <c r="A56" s="194" t="s">
        <v>289</v>
      </c>
      <c r="B56" s="87" t="s">
        <v>290</v>
      </c>
      <c r="F56" t="s">
        <v>193</v>
      </c>
      <c r="G56" s="156">
        <v>1.0597860962566845E-4</v>
      </c>
    </row>
    <row r="57" spans="1:7" x14ac:dyDescent="0.35">
      <c r="A57" s="196" t="s">
        <v>291</v>
      </c>
      <c r="B57" s="87" t="s">
        <v>292</v>
      </c>
      <c r="F57" t="s">
        <v>365</v>
      </c>
      <c r="G57" s="156">
        <v>3.0818181818181812E-4</v>
      </c>
    </row>
    <row r="58" spans="1:7" x14ac:dyDescent="0.35">
      <c r="A58" s="196" t="s">
        <v>272</v>
      </c>
      <c r="B58" s="198" t="s">
        <v>273</v>
      </c>
      <c r="F58" t="s">
        <v>194</v>
      </c>
      <c r="G58" s="156">
        <v>3.1909090909090916E-6</v>
      </c>
    </row>
    <row r="59" spans="1:7" x14ac:dyDescent="0.35">
      <c r="A59" s="197" t="s">
        <v>274</v>
      </c>
      <c r="B59" s="198" t="s">
        <v>275</v>
      </c>
      <c r="F59" t="s">
        <v>195</v>
      </c>
      <c r="G59" s="156">
        <v>1.2643292745016044E-5</v>
      </c>
    </row>
    <row r="60" spans="1:7" x14ac:dyDescent="0.35">
      <c r="A60" s="194" t="s">
        <v>276</v>
      </c>
      <c r="B60" s="52" t="s">
        <v>277</v>
      </c>
      <c r="F60" t="s">
        <v>196</v>
      </c>
      <c r="G60" s="156">
        <v>1.545925835775401E-3</v>
      </c>
    </row>
    <row r="61" spans="1:7" x14ac:dyDescent="0.35">
      <c r="A61" s="196" t="s">
        <v>278</v>
      </c>
      <c r="B61" s="87" t="s">
        <v>279</v>
      </c>
      <c r="F61" t="s">
        <v>197</v>
      </c>
      <c r="G61" s="156">
        <v>1.7903743315508022E-4</v>
      </c>
    </row>
    <row r="62" spans="1:7" x14ac:dyDescent="0.35">
      <c r="A62" s="197" t="s">
        <v>274</v>
      </c>
      <c r="B62" s="87" t="s">
        <v>275</v>
      </c>
      <c r="F62" t="s">
        <v>198</v>
      </c>
      <c r="G62" s="156">
        <v>3.4709848593915918E-2</v>
      </c>
    </row>
    <row r="63" spans="1:7" x14ac:dyDescent="0.35">
      <c r="A63" s="194" t="s">
        <v>293</v>
      </c>
      <c r="B63" s="184" t="s">
        <v>294</v>
      </c>
      <c r="C63" s="181"/>
    </row>
    <row r="64" spans="1:7" x14ac:dyDescent="0.35">
      <c r="A64" s="183" t="s">
        <v>278</v>
      </c>
      <c r="B64" s="87" t="s">
        <v>279</v>
      </c>
      <c r="C64" s="181"/>
    </row>
    <row r="65" spans="1:3" x14ac:dyDescent="0.35">
      <c r="A65" s="194" t="s">
        <v>274</v>
      </c>
      <c r="B65" s="87" t="s">
        <v>275</v>
      </c>
      <c r="C65" s="181"/>
    </row>
    <row r="66" spans="1:3" x14ac:dyDescent="0.35">
      <c r="A66" s="183" t="s">
        <v>272</v>
      </c>
      <c r="B66" s="87" t="s">
        <v>273</v>
      </c>
      <c r="C66" s="181"/>
    </row>
    <row r="67" spans="1:3" x14ac:dyDescent="0.35">
      <c r="A67" s="194" t="s">
        <v>274</v>
      </c>
      <c r="B67" s="87" t="s">
        <v>275</v>
      </c>
      <c r="C67" s="181"/>
    </row>
    <row r="68" spans="1:3" x14ac:dyDescent="0.35">
      <c r="A68" s="182" t="s">
        <v>295</v>
      </c>
      <c r="B68" s="87" t="s">
        <v>296</v>
      </c>
      <c r="C68" s="181"/>
    </row>
    <row r="69" spans="1:3" x14ac:dyDescent="0.35">
      <c r="A69" s="182"/>
      <c r="B69" s="87" t="s">
        <v>297</v>
      </c>
      <c r="C69" s="181"/>
    </row>
    <row r="70" spans="1:3" x14ac:dyDescent="0.35">
      <c r="A70" s="182" t="s">
        <v>298</v>
      </c>
      <c r="B70" s="87" t="s">
        <v>299</v>
      </c>
      <c r="C70" s="181"/>
    </row>
    <row r="71" spans="1:3" x14ac:dyDescent="0.35">
      <c r="A71" s="182" t="s">
        <v>300</v>
      </c>
      <c r="B71" s="87" t="s">
        <v>301</v>
      </c>
      <c r="C71" s="181"/>
    </row>
    <row r="72" spans="1:3" x14ac:dyDescent="0.35">
      <c r="A72" s="190" t="s">
        <v>302</v>
      </c>
      <c r="B72" s="188"/>
      <c r="C72" s="189">
        <f>0.00117*C8</f>
        <v>4.598663101604278E-4</v>
      </c>
    </row>
    <row r="73" spans="1:3" x14ac:dyDescent="0.35">
      <c r="A73" s="182" t="s">
        <v>303</v>
      </c>
      <c r="B73" s="87" t="s">
        <v>304</v>
      </c>
      <c r="C73" s="181"/>
    </row>
    <row r="74" spans="1:3" x14ac:dyDescent="0.35">
      <c r="A74" s="182" t="s">
        <v>305</v>
      </c>
      <c r="B74" s="87" t="s">
        <v>306</v>
      </c>
      <c r="C74" s="181"/>
    </row>
    <row r="75" spans="1:3" x14ac:dyDescent="0.35">
      <c r="A75" s="198" t="s">
        <v>307</v>
      </c>
      <c r="B75" s="87" t="s">
        <v>308</v>
      </c>
      <c r="C75" s="181"/>
    </row>
    <row r="76" spans="1:3" x14ac:dyDescent="0.35">
      <c r="A76" s="198" t="s">
        <v>309</v>
      </c>
      <c r="B76" s="87" t="s">
        <v>310</v>
      </c>
      <c r="C76" s="181"/>
    </row>
    <row r="77" spans="1:3" x14ac:dyDescent="0.35">
      <c r="A77" s="198" t="s">
        <v>311</v>
      </c>
      <c r="B77" s="87" t="s">
        <v>312</v>
      </c>
      <c r="C77" s="181"/>
    </row>
    <row r="78" spans="1:3" x14ac:dyDescent="0.35">
      <c r="A78" s="190" t="s">
        <v>194</v>
      </c>
      <c r="B78" s="191"/>
      <c r="C78" s="192">
        <f>(0.0000123)*C8</f>
        <v>4.8344919786096252E-6</v>
      </c>
    </row>
    <row r="79" spans="1:3" x14ac:dyDescent="0.35">
      <c r="A79" s="198" t="s">
        <v>244</v>
      </c>
      <c r="B79" s="68" t="s">
        <v>313</v>
      </c>
      <c r="C79" s="181"/>
    </row>
    <row r="80" spans="1:3" x14ac:dyDescent="0.35">
      <c r="A80" s="182" t="s">
        <v>314</v>
      </c>
      <c r="B80" s="68" t="s">
        <v>315</v>
      </c>
      <c r="C80" s="181"/>
    </row>
    <row r="81" spans="1:3" x14ac:dyDescent="0.35">
      <c r="A81" s="199" t="s">
        <v>8</v>
      </c>
      <c r="B81" s="180" t="s">
        <v>213</v>
      </c>
      <c r="C81" s="181">
        <f>0.0216/C4</f>
        <v>0.57754010695187163</v>
      </c>
    </row>
    <row r="82" spans="1:3" x14ac:dyDescent="0.35">
      <c r="A82" s="52" t="s">
        <v>316</v>
      </c>
      <c r="B82" s="180" t="s">
        <v>213</v>
      </c>
      <c r="C82" s="181">
        <f>0.00113/C4</f>
        <v>3.0213903743315503E-2</v>
      </c>
    </row>
    <row r="83" spans="1:3" x14ac:dyDescent="0.35">
      <c r="A83" s="52"/>
      <c r="B83" s="52" t="s">
        <v>317</v>
      </c>
    </row>
    <row r="84" spans="1:3" x14ac:dyDescent="0.35">
      <c r="B84" s="87" t="s">
        <v>318</v>
      </c>
    </row>
    <row r="85" spans="1:3" x14ac:dyDescent="0.35">
      <c r="A85" s="182" t="s">
        <v>216</v>
      </c>
      <c r="B85" s="87" t="s">
        <v>319</v>
      </c>
    </row>
    <row r="86" spans="1:3" x14ac:dyDescent="0.35">
      <c r="A86" s="182" t="s">
        <v>320</v>
      </c>
      <c r="B86" s="87" t="s">
        <v>321</v>
      </c>
    </row>
    <row r="87" spans="1:3" x14ac:dyDescent="0.35">
      <c r="A87" s="190" t="s">
        <v>322</v>
      </c>
      <c r="B87" s="188"/>
      <c r="C87" s="192">
        <f>(0.43/1000)*C82</f>
        <v>1.2991978609625665E-5</v>
      </c>
    </row>
    <row r="88" spans="1:3" x14ac:dyDescent="0.35">
      <c r="A88" s="190" t="s">
        <v>323</v>
      </c>
      <c r="B88" s="188"/>
      <c r="C88" s="192">
        <f>(0.154/1000)*C82</f>
        <v>4.6529411764705872E-6</v>
      </c>
    </row>
    <row r="89" spans="1:3" x14ac:dyDescent="0.35">
      <c r="A89" s="182" t="s">
        <v>324</v>
      </c>
      <c r="B89" s="87" t="s">
        <v>325</v>
      </c>
      <c r="C89" s="181">
        <f>(1.14/1)*C82</f>
        <v>3.4443850267379672E-2</v>
      </c>
    </row>
    <row r="90" spans="1:3" x14ac:dyDescent="0.35">
      <c r="A90" s="182"/>
      <c r="B90" s="52" t="s">
        <v>297</v>
      </c>
      <c r="C90" s="186"/>
    </row>
    <row r="91" spans="1:3" x14ac:dyDescent="0.35">
      <c r="A91" s="187" t="s">
        <v>155</v>
      </c>
      <c r="B91" s="188"/>
      <c r="C91" s="189">
        <f>C89*(0.093353/1000)</f>
        <v>3.2154367540106945E-6</v>
      </c>
    </row>
    <row r="92" spans="1:3" x14ac:dyDescent="0.35">
      <c r="A92" s="187" t="s">
        <v>326</v>
      </c>
      <c r="B92" s="188"/>
      <c r="C92" s="189">
        <f>(1.9162/1000)*C89</f>
        <v>6.6001305882352928E-5</v>
      </c>
    </row>
    <row r="93" spans="1:3" x14ac:dyDescent="0.35">
      <c r="A93" s="187" t="s">
        <v>156</v>
      </c>
      <c r="B93" s="188"/>
      <c r="C93" s="189">
        <f>(0.29109/1000)*C89</f>
        <v>1.002626037433155E-5</v>
      </c>
    </row>
    <row r="94" spans="1:3" x14ac:dyDescent="0.35">
      <c r="A94" s="187" t="s">
        <v>159</v>
      </c>
      <c r="B94" s="188"/>
      <c r="C94" s="189">
        <f>(56.84/1000)*C89</f>
        <v>1.9577884491978606E-3</v>
      </c>
    </row>
    <row r="95" spans="1:3" x14ac:dyDescent="0.35">
      <c r="A95" s="187" t="s">
        <v>162</v>
      </c>
      <c r="B95" s="188"/>
      <c r="C95" s="189">
        <f>(0.001451/1000)*C89</f>
        <v>4.9978026737967901E-8</v>
      </c>
    </row>
    <row r="96" spans="1:3" x14ac:dyDescent="0.35">
      <c r="A96" s="200" t="s">
        <v>327</v>
      </c>
      <c r="B96" s="87" t="s">
        <v>328</v>
      </c>
      <c r="C96" s="186"/>
    </row>
    <row r="97" spans="1:3" x14ac:dyDescent="0.35">
      <c r="A97" s="187" t="s">
        <v>168</v>
      </c>
      <c r="B97" s="188"/>
      <c r="C97" s="189">
        <f>(0.40142/1000)*C89</f>
        <v>1.3826450374331548E-5</v>
      </c>
    </row>
    <row r="98" spans="1:3" x14ac:dyDescent="0.35">
      <c r="A98" s="187" t="s">
        <v>329</v>
      </c>
      <c r="B98" s="188"/>
      <c r="C98" s="189">
        <f>(0.40519/1000)*C89</f>
        <v>1.3956303689839569E-5</v>
      </c>
    </row>
    <row r="99" spans="1:3" x14ac:dyDescent="0.35">
      <c r="A99" s="183" t="s">
        <v>330</v>
      </c>
      <c r="B99" s="52" t="s">
        <v>275</v>
      </c>
      <c r="C99" s="181"/>
    </row>
    <row r="100" spans="1:3" x14ac:dyDescent="0.35">
      <c r="A100" s="187" t="s">
        <v>169</v>
      </c>
      <c r="B100" s="188"/>
      <c r="C100" s="189">
        <f>(0.085159/1000)*C89</f>
        <v>2.9332038449197856E-6</v>
      </c>
    </row>
    <row r="101" spans="1:3" x14ac:dyDescent="0.35">
      <c r="A101" s="183" t="s">
        <v>331</v>
      </c>
      <c r="B101" s="52" t="s">
        <v>256</v>
      </c>
      <c r="C101" s="181"/>
    </row>
    <row r="102" spans="1:3" x14ac:dyDescent="0.35">
      <c r="A102" s="187" t="s">
        <v>173</v>
      </c>
      <c r="B102" s="188"/>
      <c r="C102" s="189">
        <f>(0.28273/1000)*C89</f>
        <v>9.7383097860962544E-6</v>
      </c>
    </row>
    <row r="103" spans="1:3" x14ac:dyDescent="0.35">
      <c r="A103" s="183" t="s">
        <v>332</v>
      </c>
      <c r="B103" s="52" t="s">
        <v>261</v>
      </c>
      <c r="C103" s="181"/>
    </row>
    <row r="104" spans="1:3" x14ac:dyDescent="0.35">
      <c r="A104" s="200" t="s">
        <v>333</v>
      </c>
      <c r="B104" s="87" t="s">
        <v>301</v>
      </c>
      <c r="C104" s="181"/>
    </row>
    <row r="105" spans="1:3" x14ac:dyDescent="0.35">
      <c r="A105" s="183" t="s">
        <v>334</v>
      </c>
      <c r="B105" s="52" t="s">
        <v>335</v>
      </c>
      <c r="C105" s="181"/>
    </row>
    <row r="106" spans="1:3" x14ac:dyDescent="0.35">
      <c r="A106" s="187" t="s">
        <v>336</v>
      </c>
      <c r="B106" s="188"/>
      <c r="C106" s="189">
        <f>(0.010594/1000)*C89</f>
        <v>3.6489814973262018E-7</v>
      </c>
    </row>
    <row r="107" spans="1:3" x14ac:dyDescent="0.35">
      <c r="A107" s="187" t="s">
        <v>178</v>
      </c>
      <c r="B107" s="188"/>
      <c r="C107" s="189">
        <f>(0.016871/1000)*C89</f>
        <v>5.8110219786096247E-7</v>
      </c>
    </row>
    <row r="108" spans="1:3" x14ac:dyDescent="0.35">
      <c r="A108" s="183" t="s">
        <v>337</v>
      </c>
      <c r="B108" s="184" t="s">
        <v>338</v>
      </c>
      <c r="C108" s="181"/>
    </row>
    <row r="109" spans="1:3" x14ac:dyDescent="0.35">
      <c r="A109" s="187" t="s">
        <v>180</v>
      </c>
      <c r="B109" s="188"/>
      <c r="C109" s="189">
        <f>(1.206/1000)*C89</f>
        <v>4.1539283422459889E-5</v>
      </c>
    </row>
    <row r="110" spans="1:3" x14ac:dyDescent="0.35">
      <c r="A110" s="187" t="s">
        <v>181</v>
      </c>
      <c r="B110" s="188"/>
      <c r="C110" s="189">
        <f>(0.27414/1000)*C89</f>
        <v>9.4424371122994629E-6</v>
      </c>
    </row>
    <row r="111" spans="1:3" x14ac:dyDescent="0.35">
      <c r="A111" s="183" t="s">
        <v>339</v>
      </c>
      <c r="B111" s="87" t="s">
        <v>340</v>
      </c>
      <c r="C111" s="181"/>
    </row>
    <row r="112" spans="1:3" x14ac:dyDescent="0.35">
      <c r="A112" s="183" t="s">
        <v>341</v>
      </c>
      <c r="B112" s="184" t="s">
        <v>342</v>
      </c>
      <c r="C112" s="181"/>
    </row>
    <row r="113" spans="1:3" x14ac:dyDescent="0.35">
      <c r="A113" s="187" t="s">
        <v>184</v>
      </c>
      <c r="B113" s="188"/>
      <c r="C113" s="189">
        <f>(39.576/1000)*C89</f>
        <v>1.363149818181818E-3</v>
      </c>
    </row>
    <row r="114" spans="1:3" x14ac:dyDescent="0.35">
      <c r="A114" s="187" t="s">
        <v>186</v>
      </c>
      <c r="B114" s="188"/>
      <c r="C114" s="189">
        <f>(0.045808/1000)*C89</f>
        <v>1.577803893048128E-6</v>
      </c>
    </row>
    <row r="115" spans="1:3" x14ac:dyDescent="0.35">
      <c r="A115" s="187" t="s">
        <v>343</v>
      </c>
      <c r="B115" s="188"/>
      <c r="C115" s="189">
        <f>(0.031844/1000)*C89</f>
        <v>1.0968299679144381E-6</v>
      </c>
    </row>
    <row r="116" spans="1:3" x14ac:dyDescent="0.35">
      <c r="A116" s="200" t="s">
        <v>344</v>
      </c>
      <c r="B116" s="87" t="s">
        <v>345</v>
      </c>
      <c r="C116" s="181"/>
    </row>
    <row r="117" spans="1:3" x14ac:dyDescent="0.35">
      <c r="A117" s="200" t="s">
        <v>309</v>
      </c>
      <c r="B117" s="87" t="s">
        <v>346</v>
      </c>
      <c r="C117" s="181"/>
    </row>
    <row r="118" spans="1:3" x14ac:dyDescent="0.35">
      <c r="A118" s="187" t="s">
        <v>195</v>
      </c>
      <c r="B118" s="188"/>
      <c r="C118" s="189">
        <f>(0.017276/1000)*C89</f>
        <v>5.9505195721925112E-7</v>
      </c>
    </row>
    <row r="119" spans="1:3" x14ac:dyDescent="0.35">
      <c r="A119" s="187" t="s">
        <v>196</v>
      </c>
      <c r="B119" s="188"/>
      <c r="C119" s="189">
        <f>(21.483/1000)*C89</f>
        <v>7.3995723529411759E-4</v>
      </c>
    </row>
    <row r="120" spans="1:3" x14ac:dyDescent="0.35">
      <c r="A120" s="190" t="s">
        <v>347</v>
      </c>
      <c r="B120" s="188"/>
      <c r="C120" s="189">
        <f>(70.6/1000)*C82</f>
        <v>2.1331016042780743E-3</v>
      </c>
    </row>
    <row r="121" spans="1:3" x14ac:dyDescent="0.35">
      <c r="A121" s="190" t="s">
        <v>348</v>
      </c>
      <c r="B121" s="188"/>
      <c r="C121" s="189">
        <f>(17/1000)*C82</f>
        <v>5.1363636363636357E-4</v>
      </c>
    </row>
    <row r="122" spans="1:3" x14ac:dyDescent="0.35">
      <c r="A122" s="182" t="s">
        <v>331</v>
      </c>
      <c r="B122" s="87" t="s">
        <v>256</v>
      </c>
      <c r="C122" s="181"/>
    </row>
    <row r="123" spans="1:3" x14ac:dyDescent="0.35">
      <c r="A123" s="190" t="s">
        <v>349</v>
      </c>
      <c r="B123" s="188"/>
      <c r="C123" s="192">
        <f>(0.182/1000)*C82</f>
        <v>5.4989304812834214E-6</v>
      </c>
    </row>
    <row r="124" spans="1:3" x14ac:dyDescent="0.35">
      <c r="A124" s="190" t="s">
        <v>350</v>
      </c>
      <c r="B124" s="188"/>
      <c r="C124" s="189">
        <f>(47.5/1000)*C82</f>
        <v>1.4351604278074865E-3</v>
      </c>
    </row>
    <row r="125" spans="1:3" x14ac:dyDescent="0.35">
      <c r="A125" s="182" t="s">
        <v>351</v>
      </c>
      <c r="B125" s="87" t="s">
        <v>261</v>
      </c>
      <c r="C125" s="181"/>
    </row>
    <row r="126" spans="1:3" x14ac:dyDescent="0.35">
      <c r="A126" s="182" t="s">
        <v>352</v>
      </c>
      <c r="B126" s="87" t="s">
        <v>263</v>
      </c>
      <c r="C126" s="181"/>
    </row>
    <row r="127" spans="1:3" x14ac:dyDescent="0.35">
      <c r="A127" s="182"/>
      <c r="B127" s="87" t="s">
        <v>264</v>
      </c>
      <c r="C127" s="181"/>
    </row>
    <row r="128" spans="1:3" x14ac:dyDescent="0.35">
      <c r="A128" s="182" t="s">
        <v>353</v>
      </c>
      <c r="B128" s="87" t="s">
        <v>354</v>
      </c>
      <c r="C128" s="181"/>
    </row>
    <row r="129" spans="1:3" x14ac:dyDescent="0.35">
      <c r="A129" s="182" t="s">
        <v>337</v>
      </c>
      <c r="B129" s="184" t="s">
        <v>355</v>
      </c>
      <c r="C129" s="181"/>
    </row>
    <row r="130" spans="1:3" x14ac:dyDescent="0.35">
      <c r="A130" s="190" t="s">
        <v>356</v>
      </c>
      <c r="B130" s="188"/>
      <c r="C130" s="189">
        <f>(4.21/1000)*C82</f>
        <v>1.2720053475935827E-4</v>
      </c>
    </row>
    <row r="131" spans="1:3" x14ac:dyDescent="0.35">
      <c r="A131" s="182" t="s">
        <v>357</v>
      </c>
      <c r="B131" s="87" t="s">
        <v>358</v>
      </c>
      <c r="C131" s="181"/>
    </row>
    <row r="132" spans="1:3" x14ac:dyDescent="0.35">
      <c r="A132" s="190" t="s">
        <v>188</v>
      </c>
      <c r="B132" s="188"/>
      <c r="C132" s="189">
        <f>(96.1/1000)*C82</f>
        <v>2.9035561497326194E-3</v>
      </c>
    </row>
    <row r="133" spans="1:3" x14ac:dyDescent="0.35">
      <c r="A133" s="182" t="s">
        <v>305</v>
      </c>
      <c r="B133" s="87" t="s">
        <v>359</v>
      </c>
      <c r="C133" s="181"/>
    </row>
    <row r="134" spans="1:3" x14ac:dyDescent="0.35">
      <c r="A134" s="190" t="s">
        <v>360</v>
      </c>
      <c r="B134" s="188"/>
      <c r="C134" s="189">
        <f>(2.37/1000)*C82</f>
        <v>7.1606951871657754E-5</v>
      </c>
    </row>
    <row r="135" spans="1:3" x14ac:dyDescent="0.35">
      <c r="A135" s="182" t="s">
        <v>361</v>
      </c>
      <c r="B135" s="87" t="s">
        <v>308</v>
      </c>
      <c r="C135" s="181"/>
    </row>
    <row r="136" spans="1:3" x14ac:dyDescent="0.35">
      <c r="A136" s="190" t="s">
        <v>192</v>
      </c>
      <c r="B136" s="188"/>
      <c r="C136" s="189">
        <f>(276/1000)*C82</f>
        <v>8.33903743315508E-3</v>
      </c>
    </row>
    <row r="137" spans="1:3" x14ac:dyDescent="0.35">
      <c r="A137" s="182" t="s">
        <v>362</v>
      </c>
      <c r="B137" s="87" t="s">
        <v>363</v>
      </c>
      <c r="C137" s="181"/>
    </row>
    <row r="138" spans="1:3" x14ac:dyDescent="0.35">
      <c r="A138" s="182" t="s">
        <v>309</v>
      </c>
      <c r="B138" s="87" t="s">
        <v>310</v>
      </c>
      <c r="C138" s="181"/>
    </row>
    <row r="139" spans="1:3" x14ac:dyDescent="0.35">
      <c r="A139" s="182" t="s">
        <v>311</v>
      </c>
      <c r="B139" s="87" t="s">
        <v>364</v>
      </c>
      <c r="C139" s="181"/>
    </row>
    <row r="140" spans="1:3" x14ac:dyDescent="0.35">
      <c r="A140" s="190" t="s">
        <v>365</v>
      </c>
      <c r="B140" s="188"/>
      <c r="C140" s="189">
        <f>(10.2/1000)*C82</f>
        <v>3.0818181818181812E-4</v>
      </c>
    </row>
    <row r="141" spans="1:3" x14ac:dyDescent="0.35">
      <c r="A141" s="182" t="s">
        <v>366</v>
      </c>
      <c r="B141" s="87" t="s">
        <v>367</v>
      </c>
    </row>
    <row r="142" spans="1:3" x14ac:dyDescent="0.35">
      <c r="A142" s="182"/>
    </row>
    <row r="143" spans="1:3" x14ac:dyDescent="0.35">
      <c r="A143" s="201" t="s">
        <v>38</v>
      </c>
      <c r="B143" s="201"/>
    </row>
    <row r="144" spans="1:3" x14ac:dyDescent="0.35">
      <c r="A144" s="52" t="s">
        <v>368</v>
      </c>
      <c r="B144" s="87" t="s">
        <v>369</v>
      </c>
    </row>
    <row r="145" spans="1:2" x14ac:dyDescent="0.35">
      <c r="A145" s="198" t="s">
        <v>284</v>
      </c>
      <c r="B145" s="87" t="s">
        <v>370</v>
      </c>
    </row>
    <row r="146" spans="1:2" x14ac:dyDescent="0.35">
      <c r="A146" s="198" t="s">
        <v>371</v>
      </c>
      <c r="B146" s="87" t="s">
        <v>372</v>
      </c>
    </row>
    <row r="148" spans="1:2" x14ac:dyDescent="0.35">
      <c r="A148" s="201" t="s">
        <v>373</v>
      </c>
      <c r="B148" s="201"/>
    </row>
    <row r="149" spans="1:2" x14ac:dyDescent="0.35">
      <c r="A149" s="202" t="s">
        <v>374</v>
      </c>
      <c r="B149" s="202" t="s">
        <v>375</v>
      </c>
    </row>
    <row r="150" spans="1:2" x14ac:dyDescent="0.35">
      <c r="A150" s="202"/>
      <c r="B150" s="202" t="s">
        <v>376</v>
      </c>
    </row>
    <row r="151" spans="1:2" x14ac:dyDescent="0.35">
      <c r="A151" s="198" t="s">
        <v>377</v>
      </c>
      <c r="B151" s="87" t="s">
        <v>378</v>
      </c>
    </row>
    <row r="153" spans="1:2" x14ac:dyDescent="0.35">
      <c r="A153" s="201"/>
      <c r="B153" s="201" t="s">
        <v>40</v>
      </c>
    </row>
    <row r="154" spans="1:2" x14ac:dyDescent="0.35">
      <c r="A154" s="87" t="s">
        <v>379</v>
      </c>
      <c r="B154" s="87" t="s">
        <v>380</v>
      </c>
    </row>
    <row r="155" spans="1:2" x14ac:dyDescent="0.35">
      <c r="B155" s="87" t="s">
        <v>381</v>
      </c>
    </row>
    <row r="156" spans="1:2" x14ac:dyDescent="0.35">
      <c r="A156" s="87" t="s">
        <v>382</v>
      </c>
      <c r="B156" s="87" t="s">
        <v>383</v>
      </c>
    </row>
    <row r="157" spans="1:2" x14ac:dyDescent="0.35">
      <c r="B157" s="87" t="s">
        <v>384</v>
      </c>
    </row>
    <row r="158" spans="1:2" x14ac:dyDescent="0.35">
      <c r="A158" s="87" t="s">
        <v>385</v>
      </c>
      <c r="B158" s="87" t="s">
        <v>386</v>
      </c>
    </row>
    <row r="159" spans="1:2" x14ac:dyDescent="0.35">
      <c r="B159" s="87" t="s">
        <v>387</v>
      </c>
    </row>
  </sheetData>
  <mergeCells count="2">
    <mergeCell ref="A3:B3"/>
    <mergeCell ref="A7:B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90" zoomScaleNormal="90" workbookViewId="0">
      <selection activeCell="R24" sqref="R24"/>
    </sheetView>
  </sheetViews>
  <sheetFormatPr defaultRowHeight="14.5" x14ac:dyDescent="0.35"/>
  <cols>
    <col min="1" max="1" width="14.81640625" customWidth="1"/>
  </cols>
  <sheetData>
    <row r="1" spans="1:18" ht="87" x14ac:dyDescent="0.35">
      <c r="A1" s="37" t="s">
        <v>67</v>
      </c>
      <c r="B1" s="35"/>
      <c r="C1" s="35"/>
      <c r="D1" s="35" t="s">
        <v>70</v>
      </c>
      <c r="E1" s="36" t="s">
        <v>8</v>
      </c>
      <c r="F1" s="36" t="s">
        <v>63</v>
      </c>
      <c r="G1" s="36" t="s">
        <v>42</v>
      </c>
      <c r="H1" s="36" t="s">
        <v>57</v>
      </c>
      <c r="I1" s="36" t="s">
        <v>11</v>
      </c>
      <c r="J1" s="36" t="s">
        <v>12</v>
      </c>
      <c r="K1" s="36" t="s">
        <v>68</v>
      </c>
      <c r="L1" s="36" t="s">
        <v>13</v>
      </c>
      <c r="M1" s="36" t="s">
        <v>14</v>
      </c>
      <c r="N1" s="36" t="s">
        <v>55</v>
      </c>
      <c r="O1" s="36" t="s">
        <v>56</v>
      </c>
      <c r="P1" s="36" t="s">
        <v>17</v>
      </c>
      <c r="Q1" s="36" t="s">
        <v>18</v>
      </c>
    </row>
    <row r="2" spans="1:18" x14ac:dyDescent="0.35">
      <c r="A2" s="2" t="s">
        <v>76</v>
      </c>
      <c r="B2" s="2"/>
      <c r="C2" s="2" t="s">
        <v>7</v>
      </c>
      <c r="D2" s="18">
        <v>3.9403855997631299</v>
      </c>
      <c r="E2" s="18">
        <v>0.20598068153328</v>
      </c>
      <c r="F2" s="18">
        <v>0.32019551729608903</v>
      </c>
      <c r="G2" s="18">
        <v>0.79413088674773502</v>
      </c>
      <c r="H2" s="18">
        <v>0.43165097755617798</v>
      </c>
      <c r="I2" s="18">
        <v>2.45594691158268E-2</v>
      </c>
      <c r="J2" s="18">
        <v>1.6714057733548299E-2</v>
      </c>
      <c r="K2" s="18">
        <v>2.04430966314685</v>
      </c>
      <c r="L2" s="18">
        <v>1.2848241342234799E-3</v>
      </c>
      <c r="M2" s="18">
        <v>0</v>
      </c>
      <c r="N2" s="18">
        <v>0</v>
      </c>
      <c r="O2" s="18">
        <v>0</v>
      </c>
      <c r="P2" s="18">
        <v>2.69279579227308E-3</v>
      </c>
      <c r="Q2" s="18">
        <v>9.8866726707126595E-2</v>
      </c>
    </row>
    <row r="3" spans="1:18" x14ac:dyDescent="0.35">
      <c r="A3" s="7" t="s">
        <v>21</v>
      </c>
      <c r="C3" t="s">
        <v>22</v>
      </c>
      <c r="D3" s="4">
        <v>897.90541345434497</v>
      </c>
      <c r="E3" s="4">
        <v>5.5621332664957999</v>
      </c>
      <c r="F3" s="4">
        <v>11.9140000523771</v>
      </c>
      <c r="G3" s="4">
        <v>23.149278419108501</v>
      </c>
      <c r="H3" s="4">
        <v>16.719002569697899</v>
      </c>
      <c r="I3" s="4">
        <v>0.88181280383927996</v>
      </c>
      <c r="J3" s="4">
        <v>0.59736610886571395</v>
      </c>
      <c r="K3" s="17">
        <v>838.97379887502404</v>
      </c>
      <c r="L3" s="4">
        <v>4.6137890797002902E-2</v>
      </c>
      <c r="M3" s="4">
        <v>0</v>
      </c>
      <c r="N3" s="4">
        <v>1.4999999999999999E-2</v>
      </c>
      <c r="O3" s="4">
        <v>0</v>
      </c>
      <c r="P3" s="4">
        <v>8.0495861031053603E-3</v>
      </c>
      <c r="Q3" s="4">
        <v>3.8833882036833398E-2</v>
      </c>
    </row>
    <row r="4" spans="1:18" x14ac:dyDescent="0.35">
      <c r="A4" s="3" t="s">
        <v>24</v>
      </c>
      <c r="B4" s="2"/>
      <c r="C4" s="2" t="s">
        <v>22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2"/>
    </row>
    <row r="5" spans="1:18" x14ac:dyDescent="0.35">
      <c r="A5" t="s">
        <v>25</v>
      </c>
      <c r="D5" s="4">
        <v>0.23558704683029999</v>
      </c>
      <c r="E5" s="17">
        <v>1.0247127683836E-2</v>
      </c>
      <c r="F5" s="17">
        <v>1.5400723104562799E-2</v>
      </c>
      <c r="G5" s="17">
        <v>2.9836220753547499E-2</v>
      </c>
      <c r="H5" s="4">
        <v>2.63008888236177E-2</v>
      </c>
      <c r="I5" s="4">
        <v>1.3442407357324899E-3</v>
      </c>
      <c r="J5" s="4">
        <v>9.14823221871346E-4</v>
      </c>
      <c r="K5" s="17">
        <v>0.13847051170902799</v>
      </c>
      <c r="L5" s="4">
        <v>1.3756023575723199E-4</v>
      </c>
      <c r="M5" s="4">
        <v>1.5283456092234199E-4</v>
      </c>
      <c r="N5" s="4">
        <v>6.4900000000000001E-3</v>
      </c>
      <c r="O5" s="4">
        <v>0</v>
      </c>
      <c r="P5" s="4">
        <v>2.6627890010370999E-5</v>
      </c>
      <c r="Q5" s="4">
        <v>6.2654881114139601E-3</v>
      </c>
    </row>
    <row r="6" spans="1:18" x14ac:dyDescent="0.35">
      <c r="A6" t="s">
        <v>26</v>
      </c>
      <c r="D6" s="4">
        <v>4.59098988792985E-7</v>
      </c>
      <c r="E6" s="4">
        <v>8.8197498791337406E-9</v>
      </c>
      <c r="F6" s="4">
        <v>1.1747380558654201E-8</v>
      </c>
      <c r="G6" s="4">
        <v>2.0394433254114099E-8</v>
      </c>
      <c r="H6" s="4">
        <v>2.2063549276043501E-8</v>
      </c>
      <c r="I6" s="4">
        <v>3.4592506249545901E-9</v>
      </c>
      <c r="J6" s="4">
        <v>2.3541919825295901E-9</v>
      </c>
      <c r="K6" s="4">
        <v>3.8995172518160601E-7</v>
      </c>
      <c r="L6" s="4">
        <v>1.8097010004346599E-10</v>
      </c>
      <c r="M6" s="4">
        <v>0</v>
      </c>
      <c r="N6" s="4">
        <v>0</v>
      </c>
      <c r="O6" s="4">
        <v>0</v>
      </c>
      <c r="P6" s="4">
        <v>6.2131398383535799E-12</v>
      </c>
      <c r="Q6" s="4">
        <v>1.2152479606794E-10</v>
      </c>
      <c r="R6" s="4"/>
    </row>
    <row r="7" spans="1:18" x14ac:dyDescent="0.35">
      <c r="A7" t="s">
        <v>27</v>
      </c>
      <c r="D7" s="4">
        <v>0.17895558319959501</v>
      </c>
      <c r="E7" s="4">
        <v>2.78729076809521E-4</v>
      </c>
      <c r="F7" s="4">
        <v>5.0667328684637003E-4</v>
      </c>
      <c r="G7" s="4">
        <v>6.7859270585914301E-3</v>
      </c>
      <c r="H7" s="4">
        <v>9.3940214031810901E-4</v>
      </c>
      <c r="I7" s="4">
        <v>5.0596598369501197E-3</v>
      </c>
      <c r="J7" s="4">
        <v>4.9816162466822201E-5</v>
      </c>
      <c r="K7" s="17">
        <v>0.16511881747093901</v>
      </c>
      <c r="L7" s="4">
        <v>2.0486660098245201E-4</v>
      </c>
      <c r="M7" s="4">
        <v>8.0439242590706394E-6</v>
      </c>
      <c r="N7" s="4">
        <v>0</v>
      </c>
      <c r="O7" s="4">
        <v>0</v>
      </c>
      <c r="P7" s="4">
        <v>1.7563527576443701E-7</v>
      </c>
      <c r="Q7" s="4">
        <v>3.4720061565442499E-6</v>
      </c>
      <c r="R7" s="4"/>
    </row>
    <row r="8" spans="1:18" x14ac:dyDescent="0.35">
      <c r="A8" t="s">
        <v>28</v>
      </c>
      <c r="D8" s="4">
        <v>8.3828896032096798E-5</v>
      </c>
      <c r="E8" s="4">
        <v>2.0126931118141299E-6</v>
      </c>
      <c r="F8" s="4">
        <v>2.9306273211829302E-6</v>
      </c>
      <c r="G8" s="4">
        <v>1.1065075896802299E-5</v>
      </c>
      <c r="H8" s="4">
        <v>5.2046106047010799E-6</v>
      </c>
      <c r="I8" s="4">
        <v>1.1534165302320299E-6</v>
      </c>
      <c r="J8" s="4">
        <v>7.8496174268328605E-7</v>
      </c>
      <c r="K8" s="4">
        <v>6.0367580268206199E-5</v>
      </c>
      <c r="L8" s="4">
        <v>6.0340777171096204E-8</v>
      </c>
      <c r="M8" s="4">
        <v>0</v>
      </c>
      <c r="N8" s="4">
        <v>0</v>
      </c>
      <c r="O8" s="4">
        <v>0</v>
      </c>
      <c r="P8" s="4">
        <v>3.0279587385102803E-8</v>
      </c>
      <c r="Q8" s="4">
        <v>2.1931019191871099E-7</v>
      </c>
      <c r="R8" s="4"/>
    </row>
    <row r="9" spans="1:18" x14ac:dyDescent="0.35">
      <c r="A9" t="s">
        <v>29</v>
      </c>
      <c r="D9" s="4">
        <v>9.6988234918740805E-10</v>
      </c>
      <c r="E9" s="4">
        <v>9.8081460523106407E-12</v>
      </c>
      <c r="F9" s="4">
        <v>8.6610979388772993E-12</v>
      </c>
      <c r="G9" s="4">
        <v>2.4176944019457299E-11</v>
      </c>
      <c r="H9" s="4">
        <v>1.51678961540817E-11</v>
      </c>
      <c r="I9" s="4">
        <v>6.3479131912478701E-12</v>
      </c>
      <c r="J9" s="4">
        <v>4.3200698162516701E-12</v>
      </c>
      <c r="K9" s="4">
        <v>9.0062854165677797E-10</v>
      </c>
      <c r="L9" s="4">
        <v>3.3208998551521101E-13</v>
      </c>
      <c r="M9" s="4">
        <v>0</v>
      </c>
      <c r="N9" s="4">
        <v>0</v>
      </c>
      <c r="O9" s="4">
        <v>0</v>
      </c>
      <c r="P9" s="4">
        <v>6.0460490809024102E-15</v>
      </c>
      <c r="Q9" s="4">
        <v>4.3360432380771998E-13</v>
      </c>
      <c r="R9" s="4"/>
    </row>
    <row r="10" spans="1:18" x14ac:dyDescent="0.35">
      <c r="A10" s="3" t="s">
        <v>30</v>
      </c>
      <c r="B10" s="2"/>
      <c r="C10" s="2" t="s">
        <v>22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2"/>
    </row>
    <row r="11" spans="1:18" x14ac:dyDescent="0.35">
      <c r="A11" t="s">
        <v>31</v>
      </c>
      <c r="D11" s="4">
        <v>1.0938019742697101E-6</v>
      </c>
      <c r="E11" s="4">
        <v>1.0937746366312E-6</v>
      </c>
      <c r="F11" s="4">
        <v>4.6492632286113697E-12</v>
      </c>
      <c r="G11" s="4">
        <v>2.2304886864938098E-11</v>
      </c>
      <c r="H11" s="4">
        <v>2.3348701121351901E-15</v>
      </c>
      <c r="I11" s="4">
        <v>3.3514569090423501E-15</v>
      </c>
      <c r="J11" s="4">
        <v>2.2808324511819199E-15</v>
      </c>
      <c r="K11" s="4">
        <v>3.7523474130080102E-13</v>
      </c>
      <c r="L11" s="4">
        <v>1.7533089158078101E-16</v>
      </c>
      <c r="M11" s="4">
        <v>0</v>
      </c>
      <c r="N11" s="4">
        <v>0</v>
      </c>
      <c r="O11" s="4">
        <v>0</v>
      </c>
      <c r="P11" s="4">
        <v>3.05777383143783E-18</v>
      </c>
      <c r="Q11" s="4">
        <v>1.08133429390855E-16</v>
      </c>
      <c r="R11" s="4"/>
    </row>
    <row r="12" spans="1:18" x14ac:dyDescent="0.35">
      <c r="A12" t="s">
        <v>64</v>
      </c>
      <c r="D12" s="4">
        <v>6.1759230197183802E-12</v>
      </c>
      <c r="E12" s="4">
        <v>6.1759230197183802E-12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8" x14ac:dyDescent="0.35">
      <c r="A13" t="s">
        <v>32</v>
      </c>
      <c r="D13" s="4">
        <v>6.46663129886861E-3</v>
      </c>
      <c r="E13" s="17">
        <v>6.46663129886861E-3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8" x14ac:dyDescent="0.35">
      <c r="A14" t="s">
        <v>33</v>
      </c>
      <c r="D14" s="4">
        <v>4.5530064387115804E-15</v>
      </c>
      <c r="E14" s="4">
        <v>4.5530064387115804E-15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8" x14ac:dyDescent="0.35">
      <c r="A15" t="s">
        <v>60</v>
      </c>
      <c r="D15" s="4">
        <v>2.98652421565525E-2</v>
      </c>
      <c r="E15" s="17">
        <v>2.98652421565525E-2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</row>
    <row r="16" spans="1:18" x14ac:dyDescent="0.35">
      <c r="A16" t="s">
        <v>34</v>
      </c>
      <c r="D16" s="4">
        <v>4.1576786990650003E-11</v>
      </c>
      <c r="E16" s="4">
        <v>4.1576786990650003E-11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8" x14ac:dyDescent="0.35">
      <c r="A17" t="s">
        <v>65</v>
      </c>
      <c r="D17" s="4">
        <v>6.2258204399999998E-9</v>
      </c>
      <c r="E17" s="4">
        <v>0</v>
      </c>
      <c r="F17" s="4">
        <v>0</v>
      </c>
      <c r="G17" s="4">
        <v>6.2258204399999998E-9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8" x14ac:dyDescent="0.35">
      <c r="A18" s="3" t="s">
        <v>71</v>
      </c>
      <c r="B18" s="2"/>
      <c r="C18" s="2" t="s">
        <v>22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"/>
    </row>
    <row r="19" spans="1:18" x14ac:dyDescent="0.35">
      <c r="A19" t="s">
        <v>35</v>
      </c>
      <c r="D19" s="4">
        <v>5.9361941847087801E-3</v>
      </c>
      <c r="E19" s="4">
        <v>1.8874145722544701E-5</v>
      </c>
      <c r="F19" s="4">
        <v>1.5359719057984301E-5</v>
      </c>
      <c r="G19" s="4">
        <v>1.28951425379522E-4</v>
      </c>
      <c r="H19" s="4">
        <v>2.45745719530574E-5</v>
      </c>
      <c r="I19" s="4">
        <v>3.12574361188797E-5</v>
      </c>
      <c r="J19" s="4">
        <v>2.1272416600106099E-5</v>
      </c>
      <c r="K19" s="17">
        <v>5.6723828213048203E-3</v>
      </c>
      <c r="L19" s="4">
        <v>1.6352269935029701E-6</v>
      </c>
      <c r="M19" s="4">
        <v>0</v>
      </c>
      <c r="N19" s="4">
        <v>0</v>
      </c>
      <c r="O19" s="4">
        <v>0</v>
      </c>
      <c r="P19" s="4">
        <v>2.09016755264275E-7</v>
      </c>
      <c r="Q19" s="4">
        <v>2.167740482309E-5</v>
      </c>
      <c r="R19" s="4"/>
    </row>
    <row r="20" spans="1:18" x14ac:dyDescent="0.35">
      <c r="A20" s="21" t="s">
        <v>36</v>
      </c>
      <c r="B20" s="21"/>
      <c r="C20" s="21"/>
      <c r="D20" s="23">
        <v>0.66847689149559597</v>
      </c>
      <c r="E20" s="23">
        <v>1.4517116424906801E-2</v>
      </c>
      <c r="F20" s="24">
        <v>2.4195431402033798E-2</v>
      </c>
      <c r="G20" s="24">
        <v>4.2145142972067701E-2</v>
      </c>
      <c r="H20" s="23">
        <v>4.5600616403106198E-2</v>
      </c>
      <c r="I20" s="23">
        <v>6.1992949613077497E-3</v>
      </c>
      <c r="J20" s="23">
        <v>4.21895732472742E-3</v>
      </c>
      <c r="K20" s="24">
        <v>0.53029005007596297</v>
      </c>
      <c r="L20" s="23">
        <v>3.2431498382244801E-4</v>
      </c>
      <c r="M20" s="23">
        <v>0</v>
      </c>
      <c r="N20" s="23">
        <v>0</v>
      </c>
      <c r="O20" s="23">
        <v>0</v>
      </c>
      <c r="P20" s="23">
        <v>1.02000800442235E-5</v>
      </c>
      <c r="Q20" s="23">
        <v>9.7576686761700697E-4</v>
      </c>
      <c r="R20" s="4"/>
    </row>
    <row r="21" spans="1:18" x14ac:dyDescent="0.35">
      <c r="N21" s="4"/>
      <c r="O21" s="4"/>
      <c r="P21" s="4"/>
      <c r="Q21" s="4"/>
      <c r="R21" s="4"/>
    </row>
    <row r="22" spans="1:18" x14ac:dyDescent="0.35">
      <c r="N22" s="4"/>
      <c r="O22" s="4"/>
      <c r="P22" s="4"/>
      <c r="Q22" s="4"/>
      <c r="R22" s="4"/>
    </row>
    <row r="23" spans="1:18" ht="15" thickBot="1" x14ac:dyDescent="0.4">
      <c r="A23" s="3" t="s">
        <v>82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9" x14ac:dyDescent="0.35">
      <c r="A24" s="22"/>
      <c r="B24" s="26" t="s">
        <v>41</v>
      </c>
      <c r="C24" s="27" t="s">
        <v>42</v>
      </c>
      <c r="D24" s="27" t="s">
        <v>43</v>
      </c>
      <c r="E24" s="27" t="s">
        <v>44</v>
      </c>
      <c r="F24" s="27" t="s">
        <v>45</v>
      </c>
      <c r="G24" s="27" t="s">
        <v>46</v>
      </c>
      <c r="H24" s="38" t="s">
        <v>47</v>
      </c>
      <c r="I24" s="38" t="s">
        <v>48</v>
      </c>
      <c r="J24" s="39" t="s">
        <v>49</v>
      </c>
      <c r="K24" s="22"/>
      <c r="L24" s="25" t="s">
        <v>37</v>
      </c>
      <c r="M24" s="25" t="s">
        <v>38</v>
      </c>
      <c r="N24" s="25" t="s">
        <v>77</v>
      </c>
      <c r="O24" s="25" t="s">
        <v>40</v>
      </c>
      <c r="P24" s="40" t="s">
        <v>50</v>
      </c>
      <c r="Q24" s="11"/>
      <c r="R24" s="11"/>
    </row>
    <row r="25" spans="1:18" s="11" customFormat="1" x14ac:dyDescent="0.35">
      <c r="A25" t="s">
        <v>5</v>
      </c>
      <c r="B25" s="4">
        <f>F2</f>
        <v>0.32019551729608903</v>
      </c>
      <c r="C25" s="4">
        <f>G2</f>
        <v>0.79413088674773502</v>
      </c>
      <c r="D25" s="4">
        <v>0</v>
      </c>
      <c r="E25" s="4">
        <v>0</v>
      </c>
      <c r="F25" s="4">
        <v>0</v>
      </c>
      <c r="G25" s="4">
        <v>0</v>
      </c>
      <c r="H25" s="4">
        <f>E2</f>
        <v>0.20598068153328</v>
      </c>
      <c r="I25" s="4">
        <v>0</v>
      </c>
      <c r="J25" s="4">
        <v>0</v>
      </c>
      <c r="K25" s="4"/>
      <c r="L25" s="4">
        <f>SUM(B25:J25)</f>
        <v>1.3203070855771042</v>
      </c>
      <c r="M25" s="4">
        <f>SUM(H2,Q2)</f>
        <v>0.53051770426330458</v>
      </c>
      <c r="N25" s="17">
        <f>SUM(P2,M2,K2)</f>
        <v>2.0470024589391231</v>
      </c>
      <c r="O25" s="4">
        <f>SUM(I2:J2,L2)</f>
        <v>4.2558350983598586E-2</v>
      </c>
      <c r="P25" s="4">
        <f>SUM(M25:O25)</f>
        <v>2.6200785141860266</v>
      </c>
      <c r="Q25"/>
      <c r="R25" s="19"/>
    </row>
    <row r="26" spans="1:18" x14ac:dyDescent="0.35">
      <c r="A26" t="s">
        <v>6</v>
      </c>
      <c r="B26" s="4">
        <f>F3</f>
        <v>11.9140000523771</v>
      </c>
      <c r="C26" s="4">
        <f>G3</f>
        <v>23.149278419108501</v>
      </c>
      <c r="D26" s="4">
        <v>0</v>
      </c>
      <c r="E26" s="4">
        <v>0</v>
      </c>
      <c r="F26" s="4">
        <v>0</v>
      </c>
      <c r="G26" s="4">
        <v>0</v>
      </c>
      <c r="H26" s="4">
        <f>E3</f>
        <v>5.5621332664957999</v>
      </c>
      <c r="I26" s="4">
        <v>0</v>
      </c>
      <c r="J26" s="4">
        <v>0</v>
      </c>
      <c r="K26" s="4"/>
      <c r="L26" s="4">
        <f>SUM(B26:J26)</f>
        <v>40.625411737981402</v>
      </c>
      <c r="M26" s="4">
        <f>SUM(H3,Q3,N3)</f>
        <v>16.772836451734733</v>
      </c>
      <c r="N26" s="17">
        <f>SUM(P3,M3,K3)</f>
        <v>838.98184846112713</v>
      </c>
      <c r="O26" s="4">
        <f>SUM(I3:J3,L3)</f>
        <v>1.5253168035019968</v>
      </c>
      <c r="P26" s="4">
        <f>SUM(M26:O26)</f>
        <v>857.28000171636393</v>
      </c>
    </row>
    <row r="27" spans="1:18" x14ac:dyDescent="0.35">
      <c r="A27" t="s">
        <v>52</v>
      </c>
      <c r="B27" s="4">
        <f>SUM(F5:F9)</f>
        <v>1.591033877477201E-2</v>
      </c>
      <c r="C27" s="4">
        <f>SUM(G5:G9)</f>
        <v>3.6633233306645925E-2</v>
      </c>
      <c r="D27" s="4">
        <v>0</v>
      </c>
      <c r="E27" s="4">
        <v>0</v>
      </c>
      <c r="F27" s="4">
        <v>0</v>
      </c>
      <c r="G27" s="4">
        <v>0</v>
      </c>
      <c r="H27" s="4">
        <f>SUM(E5:E9)</f>
        <v>1.0527878283315358E-2</v>
      </c>
      <c r="I27" s="4">
        <v>0</v>
      </c>
      <c r="J27" s="4">
        <v>0</v>
      </c>
      <c r="K27" s="4"/>
      <c r="L27" s="4">
        <f>SUM(B27:J27)</f>
        <v>6.30714503647333E-2</v>
      </c>
      <c r="M27" s="4">
        <f>SUM(H5:H9,N5:N9,Q5:Q9)</f>
        <v>4.0004697202978508E-2</v>
      </c>
      <c r="N27" s="17">
        <f>SUM(P5:P9,M5:M9,K5:K9)</f>
        <v>0.30383779990886306</v>
      </c>
      <c r="O27" s="4">
        <f>SUM(I5:J9,L5:L9)</f>
        <v>7.7129715182233296E-3</v>
      </c>
      <c r="P27" s="4">
        <f>SUM(M27:O27)</f>
        <v>0.35155546863006487</v>
      </c>
    </row>
    <row r="28" spans="1:18" x14ac:dyDescent="0.35">
      <c r="A28" t="s">
        <v>51</v>
      </c>
      <c r="B28" s="4">
        <f>SUM(F11:F17)</f>
        <v>4.6492632286113697E-12</v>
      </c>
      <c r="C28" s="4">
        <f>SUM(G11:G17)</f>
        <v>6.248125326864938E-9</v>
      </c>
      <c r="D28" s="4">
        <v>0</v>
      </c>
      <c r="E28" s="4">
        <v>0</v>
      </c>
      <c r="F28" s="4">
        <v>0</v>
      </c>
      <c r="G28" s="4">
        <v>0</v>
      </c>
      <c r="H28" s="17">
        <f>SUM(E11:E17)</f>
        <v>3.6332967277815001E-2</v>
      </c>
      <c r="I28" s="4">
        <v>0</v>
      </c>
      <c r="J28" s="4">
        <v>0</v>
      </c>
      <c r="K28" s="4"/>
      <c r="L28" s="4">
        <f>SUM(B28:J28)</f>
        <v>3.6332973530589591E-2</v>
      </c>
      <c r="M28" s="4">
        <f>SUM(H11:H17,Q11:Q17)</f>
        <v>2.4430035415260449E-15</v>
      </c>
      <c r="N28" s="4">
        <f>SUM(K11:K17,P11:P17)</f>
        <v>3.7523779907463245E-13</v>
      </c>
      <c r="O28" s="4">
        <f>SUM(I11:J17,L11:L17)</f>
        <v>5.8076202518050513E-15</v>
      </c>
      <c r="P28" s="4">
        <f>SUM(M28:O28)</f>
        <v>3.8348842286796354E-13</v>
      </c>
      <c r="Q28" s="4"/>
    </row>
    <row r="29" spans="1:18" x14ac:dyDescent="0.35">
      <c r="A29" s="21" t="s">
        <v>72</v>
      </c>
      <c r="B29" s="23">
        <f>SUM(F19:F20)</f>
        <v>2.4210791121091781E-2</v>
      </c>
      <c r="C29" s="23">
        <f>SUM(G19:G20)</f>
        <v>4.2274094397447226E-2</v>
      </c>
      <c r="D29" s="23">
        <v>0</v>
      </c>
      <c r="E29" s="23">
        <v>0</v>
      </c>
      <c r="F29" s="23">
        <v>0</v>
      </c>
      <c r="G29" s="23">
        <v>0</v>
      </c>
      <c r="H29" s="23">
        <f>SUM(E19:E20)</f>
        <v>1.4535990570629346E-2</v>
      </c>
      <c r="I29" s="23">
        <v>0</v>
      </c>
      <c r="J29" s="23">
        <v>0</v>
      </c>
      <c r="K29" s="23"/>
      <c r="L29" s="23">
        <f>SUM(B29:J29)</f>
        <v>8.1020876089168359E-2</v>
      </c>
      <c r="M29" s="23">
        <f>SUM(H19:H20,N19:N20,Q19:Q20)</f>
        <v>4.6622635247499357E-2</v>
      </c>
      <c r="N29" s="24">
        <f>SUM(K19:K20,P19:P20)</f>
        <v>0.53597284199406725</v>
      </c>
      <c r="O29" s="23">
        <f>SUM(I19:J20,L19:L20)</f>
        <v>1.0796732349570107E-2</v>
      </c>
      <c r="P29" s="23">
        <f>SUM(M29:O29)</f>
        <v>0.5933922095911367</v>
      </c>
      <c r="Q29" s="9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N27" sqref="N27"/>
    </sheetView>
  </sheetViews>
  <sheetFormatPr defaultRowHeight="14.5" x14ac:dyDescent="0.35"/>
  <cols>
    <col min="1" max="1" width="41.26953125" customWidth="1"/>
  </cols>
  <sheetData>
    <row r="1" spans="1:17" ht="87" x14ac:dyDescent="0.35">
      <c r="A1" s="71" t="s">
        <v>114</v>
      </c>
      <c r="B1" s="21"/>
      <c r="C1" s="21" t="s">
        <v>50</v>
      </c>
      <c r="D1" s="72" t="s">
        <v>8</v>
      </c>
      <c r="E1" s="72" t="s">
        <v>63</v>
      </c>
      <c r="F1" s="72" t="s">
        <v>42</v>
      </c>
      <c r="G1" s="73" t="s">
        <v>57</v>
      </c>
      <c r="H1" s="73" t="s">
        <v>18</v>
      </c>
      <c r="I1" s="73" t="s">
        <v>55</v>
      </c>
      <c r="J1" s="74" t="s">
        <v>14</v>
      </c>
      <c r="K1" s="74" t="s">
        <v>56</v>
      </c>
      <c r="L1" s="74" t="s">
        <v>17</v>
      </c>
      <c r="M1" s="74" t="s">
        <v>68</v>
      </c>
      <c r="N1" s="75" t="s">
        <v>11</v>
      </c>
      <c r="O1" s="75" t="s">
        <v>12</v>
      </c>
      <c r="P1" s="76" t="s">
        <v>13</v>
      </c>
    </row>
    <row r="2" spans="1:17" x14ac:dyDescent="0.35">
      <c r="A2" s="3" t="s">
        <v>97</v>
      </c>
      <c r="B2" s="2" t="s">
        <v>98</v>
      </c>
      <c r="C2" s="18">
        <v>0.28330028578783101</v>
      </c>
      <c r="D2" s="18">
        <v>1.31828091782683E-2</v>
      </c>
      <c r="E2" s="18">
        <v>1.7393593761665899E-2</v>
      </c>
      <c r="F2" s="18">
        <v>3.8818355550261398E-2</v>
      </c>
      <c r="G2" s="18">
        <v>2.7607780870739802E-2</v>
      </c>
      <c r="H2" s="18">
        <v>6.69228746655546E-3</v>
      </c>
      <c r="I2" s="18">
        <v>6.4900000000000001E-3</v>
      </c>
      <c r="J2" s="18">
        <v>1.53151433107676E-4</v>
      </c>
      <c r="K2" s="18">
        <v>0</v>
      </c>
      <c r="L2" s="18">
        <v>3.14104867379838E-5</v>
      </c>
      <c r="M2" s="18">
        <v>0.15369505702043401</v>
      </c>
      <c r="N2" s="18">
        <v>1.7193629067821702E-2</v>
      </c>
      <c r="O2" s="18">
        <v>1.05224683874236E-3</v>
      </c>
      <c r="P2" s="18">
        <v>9.8996411349665009E-4</v>
      </c>
    </row>
    <row r="3" spans="1:17" x14ac:dyDescent="0.35">
      <c r="A3" s="7" t="s">
        <v>99</v>
      </c>
      <c r="B3" s="6" t="s">
        <v>98</v>
      </c>
      <c r="C3" s="4">
        <v>0.40236676301367003</v>
      </c>
      <c r="D3" s="4">
        <v>-2.9933010764289499E-2</v>
      </c>
      <c r="E3" s="4">
        <v>1.1562665852282101E-2</v>
      </c>
      <c r="F3" s="4">
        <v>3.8820956392807499E-2</v>
      </c>
      <c r="G3" s="4">
        <v>2.7599451235333299E-2</v>
      </c>
      <c r="H3" s="4">
        <v>6.6914739201885702E-3</v>
      </c>
      <c r="I3" s="4">
        <v>6.4900000000000001E-3</v>
      </c>
      <c r="J3" s="4">
        <v>1.61195357366746E-4</v>
      </c>
      <c r="K3" s="4">
        <v>0</v>
      </c>
      <c r="L3" s="4">
        <v>2.8124579100774899E-5</v>
      </c>
      <c r="M3" s="4">
        <v>0.314490478903038</v>
      </c>
      <c r="N3" s="4">
        <v>2.4109966106951E-2</v>
      </c>
      <c r="O3" s="4">
        <v>1.0506284108315401E-3</v>
      </c>
      <c r="P3" s="4">
        <v>1.29483302006021E-3</v>
      </c>
    </row>
    <row r="4" spans="1:17" x14ac:dyDescent="0.35">
      <c r="A4" s="3" t="s">
        <v>100</v>
      </c>
      <c r="B4" s="2" t="s">
        <v>101</v>
      </c>
      <c r="C4" s="18">
        <v>8.43683175052811E-9</v>
      </c>
      <c r="D4" s="18">
        <v>9.0616372051806904E-10</v>
      </c>
      <c r="E4" s="18">
        <v>7.3940880192607296E-10</v>
      </c>
      <c r="F4" s="18">
        <v>2.6209909803244702E-9</v>
      </c>
      <c r="G4" s="18">
        <v>1.1444028430379299E-9</v>
      </c>
      <c r="H4" s="18">
        <v>1.2536896382510901E-9</v>
      </c>
      <c r="I4" s="18">
        <v>0</v>
      </c>
      <c r="J4" s="18">
        <v>4.0078430773494402E-17</v>
      </c>
      <c r="K4" s="18">
        <v>0</v>
      </c>
      <c r="L4" s="18">
        <v>2.81024894417927E-12</v>
      </c>
      <c r="M4" s="18">
        <v>1.74706424031617E-9</v>
      </c>
      <c r="N4" s="18">
        <v>9.7360020057416198E-12</v>
      </c>
      <c r="O4" s="18">
        <v>1.1736963507654101E-11</v>
      </c>
      <c r="P4" s="18">
        <v>8.2827161830346301E-13</v>
      </c>
    </row>
    <row r="5" spans="1:17" x14ac:dyDescent="0.35">
      <c r="A5" s="7" t="s">
        <v>102</v>
      </c>
      <c r="B5" s="6" t="s">
        <v>101</v>
      </c>
      <c r="C5" s="4">
        <v>2.5930402822504601E-8</v>
      </c>
      <c r="D5" s="4">
        <v>3.6412054257411199E-10</v>
      </c>
      <c r="E5" s="4">
        <v>6.6672410073229401E-10</v>
      </c>
      <c r="F5" s="4">
        <v>2.7991498034507598E-9</v>
      </c>
      <c r="G5" s="4">
        <v>4.2421760839686898E-10</v>
      </c>
      <c r="H5" s="4">
        <v>2.9770677549747299E-11</v>
      </c>
      <c r="I5" s="4">
        <v>0</v>
      </c>
      <c r="J5" s="4">
        <v>1.0148561513905601E-17</v>
      </c>
      <c r="K5" s="4">
        <v>0</v>
      </c>
      <c r="L5" s="4">
        <v>6.6636934710928898E-12</v>
      </c>
      <c r="M5" s="4">
        <v>2.0812513141616199E-8</v>
      </c>
      <c r="N5" s="4">
        <v>4.7606519299649999E-10</v>
      </c>
      <c r="O5" s="4">
        <v>3.2624144274841001E-10</v>
      </c>
      <c r="P5" s="4">
        <v>2.4936608820103501E-11</v>
      </c>
    </row>
    <row r="6" spans="1:17" x14ac:dyDescent="0.35">
      <c r="A6" s="3" t="s">
        <v>103</v>
      </c>
      <c r="B6" s="2" t="s">
        <v>104</v>
      </c>
      <c r="C6" s="18">
        <v>0.20134537764590299</v>
      </c>
      <c r="D6" s="18">
        <v>2.0474102917919099E-2</v>
      </c>
      <c r="E6" s="18">
        <v>6.3947861384634E-2</v>
      </c>
      <c r="F6" s="18">
        <v>3.4733780753528697E-2</v>
      </c>
      <c r="G6" s="18">
        <v>1.2138246770226201E-2</v>
      </c>
      <c r="H6" s="18">
        <v>1.2670056891699699E-2</v>
      </c>
      <c r="I6" s="18">
        <v>0</v>
      </c>
      <c r="J6" s="18">
        <v>8.6354949662413206E-12</v>
      </c>
      <c r="K6" s="18">
        <v>0</v>
      </c>
      <c r="L6" s="18">
        <v>5.0207742707526199E-5</v>
      </c>
      <c r="M6" s="18">
        <v>5.6936871385875498E-2</v>
      </c>
      <c r="N6" s="18">
        <v>1.5265977179554501E-4</v>
      </c>
      <c r="O6" s="18">
        <v>2.29510581599962E-4</v>
      </c>
      <c r="P6" s="18">
        <v>1.20794372811578E-5</v>
      </c>
    </row>
    <row r="7" spans="1:17" x14ac:dyDescent="0.35">
      <c r="A7" s="7" t="s">
        <v>105</v>
      </c>
      <c r="B7" s="6" t="s">
        <v>106</v>
      </c>
      <c r="C7" s="4">
        <v>9.0211443425808498E-4</v>
      </c>
      <c r="D7" s="4">
        <v>5.25018816440067E-5</v>
      </c>
      <c r="E7" s="4">
        <v>1.03898151059718E-4</v>
      </c>
      <c r="F7" s="4">
        <v>1.7523144168102699E-4</v>
      </c>
      <c r="G7" s="4">
        <v>9.4791912709533597E-5</v>
      </c>
      <c r="H7" s="4">
        <v>4.7628625756214004E-6</v>
      </c>
      <c r="I7" s="4">
        <v>1.3854500001589201E-5</v>
      </c>
      <c r="J7" s="4">
        <v>9.2995808936585799E-7</v>
      </c>
      <c r="K7" s="4">
        <v>0</v>
      </c>
      <c r="L7" s="4">
        <v>1.80300864967389E-7</v>
      </c>
      <c r="M7" s="4">
        <v>4.4370786260958901E-4</v>
      </c>
      <c r="N7" s="4">
        <v>8.3163818547187398E-6</v>
      </c>
      <c r="O7" s="4">
        <v>3.4993952430732702E-6</v>
      </c>
      <c r="P7" s="4">
        <v>4.3978592487306897E-7</v>
      </c>
    </row>
    <row r="8" spans="1:17" x14ac:dyDescent="0.35">
      <c r="A8" s="3" t="s">
        <v>107</v>
      </c>
      <c r="B8" s="2" t="s">
        <v>108</v>
      </c>
      <c r="C8" s="18">
        <v>2.3453788133708301E-5</v>
      </c>
      <c r="D8" s="18">
        <v>5.1204129308039899E-7</v>
      </c>
      <c r="E8" s="18">
        <v>1.8601618699059901E-6</v>
      </c>
      <c r="F8" s="18">
        <v>4.74715812998464E-8</v>
      </c>
      <c r="G8" s="18">
        <v>1.19848759450174E-8</v>
      </c>
      <c r="H8" s="18">
        <v>6.7631565901561195E-10</v>
      </c>
      <c r="I8" s="18">
        <v>0</v>
      </c>
      <c r="J8" s="18">
        <v>0</v>
      </c>
      <c r="K8" s="18">
        <v>0</v>
      </c>
      <c r="L8" s="18">
        <v>1.3481421838452699E-9</v>
      </c>
      <c r="M8" s="18">
        <v>1.93631467296842E-5</v>
      </c>
      <c r="N8" s="18">
        <v>7.4847852229301001E-7</v>
      </c>
      <c r="O8" s="18">
        <v>8.4220297470866604E-7</v>
      </c>
      <c r="P8" s="18">
        <v>6.6275828948368107E-8</v>
      </c>
    </row>
    <row r="9" spans="1:17" x14ac:dyDescent="0.35">
      <c r="A9" s="65" t="s">
        <v>109</v>
      </c>
      <c r="B9" s="66" t="s">
        <v>110</v>
      </c>
      <c r="C9" s="23">
        <v>6.7433998869002496E-7</v>
      </c>
      <c r="D9" s="23">
        <v>2.52097973893586E-8</v>
      </c>
      <c r="E9" s="23">
        <v>2.4856918567516402E-8</v>
      </c>
      <c r="F9" s="23">
        <v>8.3819386734761403E-7</v>
      </c>
      <c r="G9" s="23">
        <v>4.6138935616247402E-8</v>
      </c>
      <c r="H9" s="23">
        <v>9.8917743820937692E-9</v>
      </c>
      <c r="I9" s="23">
        <v>0</v>
      </c>
      <c r="J9" s="23">
        <v>0</v>
      </c>
      <c r="K9" s="23">
        <v>0</v>
      </c>
      <c r="L9" s="23">
        <v>1.15979410616507E-10</v>
      </c>
      <c r="M9" s="23">
        <v>-2.7143926445500199E-7</v>
      </c>
      <c r="N9" s="23">
        <v>7.91740369679364E-10</v>
      </c>
      <c r="O9" s="23">
        <v>5.3882030452554701E-10</v>
      </c>
      <c r="P9" s="23">
        <v>4.1419757375725002E-11</v>
      </c>
    </row>
    <row r="10" spans="1:17" x14ac:dyDescent="0.35">
      <c r="A10" s="35"/>
      <c r="B10" s="35"/>
      <c r="C10" s="35"/>
      <c r="D10" s="35"/>
      <c r="E10" s="35"/>
      <c r="F10" s="35"/>
      <c r="I10" t="s">
        <v>116</v>
      </c>
    </row>
    <row r="11" spans="1:17" ht="72.5" x14ac:dyDescent="0.35">
      <c r="A11" s="77" t="s">
        <v>115</v>
      </c>
      <c r="B11" s="77"/>
      <c r="C11" s="78" t="s">
        <v>37</v>
      </c>
      <c r="D11" s="79" t="s">
        <v>66</v>
      </c>
      <c r="E11" s="80" t="s">
        <v>69</v>
      </c>
      <c r="F11" s="81" t="s">
        <v>40</v>
      </c>
      <c r="G11" s="82" t="s">
        <v>50</v>
      </c>
      <c r="H11" s="11"/>
      <c r="I11" s="11" t="s">
        <v>93</v>
      </c>
      <c r="J11" s="57" t="s">
        <v>37</v>
      </c>
      <c r="K11" s="58" t="s">
        <v>66</v>
      </c>
      <c r="L11" s="59" t="s">
        <v>69</v>
      </c>
      <c r="M11" s="60" t="s">
        <v>40</v>
      </c>
      <c r="N11" s="61" t="s">
        <v>50</v>
      </c>
      <c r="O11" s="11"/>
      <c r="P11" s="11"/>
      <c r="Q11" s="11"/>
    </row>
    <row r="12" spans="1:17" x14ac:dyDescent="0.35">
      <c r="A12" t="s">
        <v>92</v>
      </c>
      <c r="B12" s="2" t="s">
        <v>98</v>
      </c>
      <c r="C12" s="4">
        <f t="shared" ref="C12:C19" si="0">SUM(D2,E2,F2)*0.1</f>
        <v>6.93947584901956E-3</v>
      </c>
      <c r="D12" s="4">
        <f t="shared" ref="D12:D19" si="1">SUM(G2,I2,H2)*0.1</f>
        <v>4.079006833729526E-3</v>
      </c>
      <c r="E12" s="4">
        <f t="shared" ref="E12:E18" si="2">SUM(J2,M2,L2)*0.1</f>
        <v>1.5387961894027968E-2</v>
      </c>
      <c r="F12">
        <f t="shared" ref="F12:F19" si="3">SUM(N2:O2,P2)*0.1</f>
        <v>1.9235840020060712E-3</v>
      </c>
      <c r="G12" s="4">
        <f t="shared" ref="G12:G19" si="4">SUM(C12:F12)</f>
        <v>2.8330028578783126E-2</v>
      </c>
      <c r="I12" s="44">
        <v>9220</v>
      </c>
      <c r="J12" s="4">
        <f>C12/$I12</f>
        <v>7.5265464739908458E-7</v>
      </c>
      <c r="K12" s="4">
        <f t="shared" ref="K12:N19" si="5">D12/$I12</f>
        <v>4.4240855029604403E-7</v>
      </c>
      <c r="L12" s="4">
        <f t="shared" si="5"/>
        <v>1.6689763442546604E-6</v>
      </c>
      <c r="M12" s="4">
        <f t="shared" si="5"/>
        <v>2.0863167049957387E-7</v>
      </c>
      <c r="N12" s="4">
        <f t="shared" si="5"/>
        <v>3.0726712124493628E-6</v>
      </c>
      <c r="P12" s="83"/>
    </row>
    <row r="13" spans="1:17" x14ac:dyDescent="0.35">
      <c r="A13" t="s">
        <v>91</v>
      </c>
      <c r="B13" s="6" t="s">
        <v>98</v>
      </c>
      <c r="C13" s="4">
        <f t="shared" si="0"/>
        <v>2.0450611480800104E-3</v>
      </c>
      <c r="D13">
        <f t="shared" si="1"/>
        <v>4.0780925155521871E-3</v>
      </c>
      <c r="E13" s="4">
        <f t="shared" si="2"/>
        <v>3.1467979883950552E-2</v>
      </c>
      <c r="F13">
        <f t="shared" si="3"/>
        <v>2.6455427537842753E-3</v>
      </c>
      <c r="G13" s="4">
        <f t="shared" si="4"/>
        <v>4.0236676301367028E-2</v>
      </c>
      <c r="I13" s="4">
        <f>I12</f>
        <v>9220</v>
      </c>
      <c r="J13" s="4">
        <f t="shared" ref="J13:J19" si="6">C13/$I13</f>
        <v>2.218070659522788E-7</v>
      </c>
      <c r="K13" s="4">
        <f t="shared" si="5"/>
        <v>4.4230938346553003E-7</v>
      </c>
      <c r="L13" s="4">
        <f t="shared" si="5"/>
        <v>3.4130130025976738E-6</v>
      </c>
      <c r="M13" s="4">
        <f t="shared" si="5"/>
        <v>2.8693522275317522E-7</v>
      </c>
      <c r="N13" s="4">
        <f t="shared" si="5"/>
        <v>4.3640646747686585E-6</v>
      </c>
    </row>
    <row r="14" spans="1:17" x14ac:dyDescent="0.35">
      <c r="A14" t="s">
        <v>90</v>
      </c>
      <c r="B14" s="2" t="s">
        <v>101</v>
      </c>
      <c r="C14" s="4">
        <f t="shared" si="0"/>
        <v>4.2665635027686126E-10</v>
      </c>
      <c r="D14">
        <f t="shared" si="1"/>
        <v>2.3980924812890199E-10</v>
      </c>
      <c r="E14" s="4">
        <f t="shared" si="2"/>
        <v>1.74987452933878E-10</v>
      </c>
      <c r="F14">
        <f t="shared" si="3"/>
        <v>2.2301237131699185E-12</v>
      </c>
      <c r="G14" s="4">
        <f t="shared" si="4"/>
        <v>8.4368317505281125E-10</v>
      </c>
      <c r="I14" s="4">
        <v>3.6900000000000002E-5</v>
      </c>
      <c r="J14" s="4">
        <f t="shared" si="6"/>
        <v>1.1562502717530114E-5</v>
      </c>
      <c r="K14" s="4">
        <f t="shared" si="5"/>
        <v>6.4988956132493756E-6</v>
      </c>
      <c r="L14" s="4">
        <f t="shared" si="5"/>
        <v>4.7422073965820593E-6</v>
      </c>
      <c r="M14" s="4">
        <f t="shared" si="5"/>
        <v>6.0436956996474745E-8</v>
      </c>
      <c r="N14" s="4">
        <f t="shared" si="5"/>
        <v>2.2864042684358028E-5</v>
      </c>
    </row>
    <row r="15" spans="1:17" x14ac:dyDescent="0.35">
      <c r="A15" t="s">
        <v>89</v>
      </c>
      <c r="B15" s="6" t="s">
        <v>101</v>
      </c>
      <c r="C15" s="4">
        <f t="shared" si="0"/>
        <v>3.8299944467571659E-10</v>
      </c>
      <c r="D15">
        <f t="shared" si="1"/>
        <v>4.539882859466163E-11</v>
      </c>
      <c r="E15" s="4">
        <f t="shared" si="2"/>
        <v>2.0819176845235854E-9</v>
      </c>
      <c r="F15">
        <f t="shared" si="3"/>
        <v>8.2724324456501349E-11</v>
      </c>
      <c r="G15" s="4">
        <f t="shared" si="4"/>
        <v>2.5930402822504652E-9</v>
      </c>
      <c r="I15" s="4">
        <v>5.3300000000000005E-4</v>
      </c>
      <c r="J15" s="4">
        <f t="shared" si="6"/>
        <v>7.1857306693380217E-7</v>
      </c>
      <c r="K15" s="4">
        <f t="shared" si="5"/>
        <v>8.5176038639140013E-8</v>
      </c>
      <c r="L15" s="4">
        <f t="shared" si="5"/>
        <v>3.9060369315639501E-6</v>
      </c>
      <c r="M15" s="4">
        <f t="shared" si="5"/>
        <v>1.5520511155065919E-7</v>
      </c>
      <c r="N15" s="4">
        <f t="shared" si="5"/>
        <v>4.8649911486875516E-6</v>
      </c>
    </row>
    <row r="16" spans="1:17" x14ac:dyDescent="0.35">
      <c r="A16" t="s">
        <v>88</v>
      </c>
      <c r="B16" s="2" t="s">
        <v>104</v>
      </c>
      <c r="C16" s="4">
        <f t="shared" si="0"/>
        <v>1.1915574505608179E-2</v>
      </c>
      <c r="D16">
        <f t="shared" si="1"/>
        <v>2.48083036619259E-3</v>
      </c>
      <c r="E16" s="4">
        <f t="shared" si="2"/>
        <v>5.6987079137218524E-3</v>
      </c>
      <c r="F16">
        <f t="shared" si="3"/>
        <v>3.9424979067666486E-5</v>
      </c>
      <c r="G16" s="4">
        <f t="shared" si="4"/>
        <v>2.0134537764590288E-2</v>
      </c>
      <c r="I16" s="4">
        <v>8740</v>
      </c>
      <c r="J16" s="4">
        <f t="shared" si="6"/>
        <v>1.3633380441199289E-6</v>
      </c>
      <c r="K16" s="4">
        <f t="shared" si="5"/>
        <v>2.8384786798542218E-7</v>
      </c>
      <c r="L16" s="4">
        <f t="shared" si="5"/>
        <v>6.5202607708488012E-7</v>
      </c>
      <c r="M16" s="4">
        <f t="shared" si="5"/>
        <v>4.5108671702135567E-9</v>
      </c>
      <c r="N16" s="4">
        <f t="shared" si="5"/>
        <v>2.3037228563604447E-6</v>
      </c>
    </row>
    <row r="17" spans="1:14" x14ac:dyDescent="0.35">
      <c r="A17" t="s">
        <v>87</v>
      </c>
      <c r="B17" s="6" t="s">
        <v>106</v>
      </c>
      <c r="C17" s="4">
        <f t="shared" si="0"/>
        <v>3.3163147438475167E-5</v>
      </c>
      <c r="D17">
        <f t="shared" si="1"/>
        <v>1.134092752867442E-5</v>
      </c>
      <c r="E17" s="4">
        <f t="shared" si="2"/>
        <v>4.4481812156392231E-5</v>
      </c>
      <c r="F17">
        <f t="shared" si="3"/>
        <v>1.225556302266508E-6</v>
      </c>
      <c r="G17" s="4">
        <f t="shared" si="4"/>
        <v>9.0211443425808314E-5</v>
      </c>
      <c r="I17">
        <v>47.3</v>
      </c>
      <c r="J17" s="4">
        <f t="shared" si="6"/>
        <v>7.0112362449207541E-7</v>
      </c>
      <c r="K17" s="4">
        <f t="shared" si="5"/>
        <v>2.3976590969713365E-7</v>
      </c>
      <c r="L17" s="4">
        <f t="shared" si="5"/>
        <v>9.4041886165734113E-7</v>
      </c>
      <c r="M17" s="4">
        <f t="shared" si="5"/>
        <v>2.5910281231850065E-8</v>
      </c>
      <c r="N17" s="4">
        <f t="shared" si="5"/>
        <v>1.9072186770783999E-6</v>
      </c>
    </row>
    <row r="18" spans="1:14" x14ac:dyDescent="0.35">
      <c r="A18" t="s">
        <v>86</v>
      </c>
      <c r="B18" s="2" t="s">
        <v>108</v>
      </c>
      <c r="C18" s="4">
        <f t="shared" si="0"/>
        <v>2.4196747442862354E-7</v>
      </c>
      <c r="D18">
        <f t="shared" si="1"/>
        <v>1.2661191604033012E-9</v>
      </c>
      <c r="E18" s="4">
        <f t="shared" si="2"/>
        <v>1.9364494871868045E-6</v>
      </c>
      <c r="F18">
        <f t="shared" si="3"/>
        <v>1.6569573259500442E-7</v>
      </c>
      <c r="G18" s="4">
        <f t="shared" si="4"/>
        <v>2.3453788133708358E-6</v>
      </c>
      <c r="I18">
        <v>1.48</v>
      </c>
      <c r="J18" s="4">
        <f t="shared" si="6"/>
        <v>1.6349153677609699E-7</v>
      </c>
      <c r="K18" s="4">
        <f t="shared" si="5"/>
        <v>8.5548591919141971E-10</v>
      </c>
      <c r="L18" s="4">
        <f t="shared" si="5"/>
        <v>1.3084118156667598E-6</v>
      </c>
      <c r="M18" s="4">
        <f t="shared" si="5"/>
        <v>1.1195657607770569E-7</v>
      </c>
      <c r="N18" s="4">
        <f t="shared" si="5"/>
        <v>1.5847154144397539E-6</v>
      </c>
    </row>
    <row r="19" spans="1:14" x14ac:dyDescent="0.35">
      <c r="A19" s="21" t="s">
        <v>85</v>
      </c>
      <c r="B19" s="66" t="s">
        <v>110</v>
      </c>
      <c r="C19" s="23">
        <f t="shared" si="0"/>
        <v>8.8826058330448917E-8</v>
      </c>
      <c r="D19" s="21">
        <f t="shared" si="1"/>
        <v>5.6030709998341173E-9</v>
      </c>
      <c r="E19" s="23">
        <v>0</v>
      </c>
      <c r="F19" s="21">
        <f t="shared" si="3"/>
        <v>1.3719804315806361E-10</v>
      </c>
      <c r="G19" s="23">
        <f t="shared" si="4"/>
        <v>9.45663273734411E-8</v>
      </c>
      <c r="I19" s="4">
        <v>0.10100000000000001</v>
      </c>
      <c r="J19" s="4">
        <f t="shared" si="6"/>
        <v>8.7946592406385057E-7</v>
      </c>
      <c r="K19" s="4">
        <f t="shared" si="5"/>
        <v>5.5475950493407098E-8</v>
      </c>
      <c r="L19" s="4">
        <f t="shared" si="5"/>
        <v>0</v>
      </c>
      <c r="M19" s="4">
        <f t="shared" si="5"/>
        <v>1.3583964669115208E-9</v>
      </c>
      <c r="N19" s="4">
        <f t="shared" si="5"/>
        <v>9.363002710241692E-7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F11" sqref="F11"/>
    </sheetView>
  </sheetViews>
  <sheetFormatPr defaultRowHeight="14.5" x14ac:dyDescent="0.35"/>
  <cols>
    <col min="1" max="1" width="10.6328125" customWidth="1"/>
    <col min="3" max="3" width="10.90625" customWidth="1"/>
  </cols>
  <sheetData>
    <row r="1" spans="1:3" ht="15.5" x14ac:dyDescent="0.35">
      <c r="A1" s="1" t="s">
        <v>4</v>
      </c>
      <c r="B1" s="1"/>
      <c r="C1" s="1"/>
    </row>
    <row r="2" spans="1:3" ht="15.5" x14ac:dyDescent="0.35">
      <c r="A2" s="1"/>
      <c r="B2" s="1"/>
      <c r="C2" s="1"/>
    </row>
    <row r="3" spans="1:3" ht="15.5" x14ac:dyDescent="0.35">
      <c r="A3" s="1" t="s">
        <v>3</v>
      </c>
      <c r="B3" s="1">
        <v>240</v>
      </c>
      <c r="C3" s="1" t="s">
        <v>0</v>
      </c>
    </row>
    <row r="4" spans="1:3" ht="15.5" x14ac:dyDescent="0.35">
      <c r="A4" s="1" t="s">
        <v>2</v>
      </c>
      <c r="B4" s="1">
        <v>240</v>
      </c>
      <c r="C4" s="1" t="s">
        <v>0</v>
      </c>
    </row>
    <row r="5" spans="1:3" ht="15.5" x14ac:dyDescent="0.35">
      <c r="A5" s="1" t="s">
        <v>1</v>
      </c>
      <c r="B5" s="1">
        <v>0.1</v>
      </c>
      <c r="C5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9"/>
  <sheetViews>
    <sheetView topLeftCell="A5" workbookViewId="0">
      <selection activeCell="E28" sqref="E28"/>
    </sheetView>
  </sheetViews>
  <sheetFormatPr defaultRowHeight="14.5" x14ac:dyDescent="0.35"/>
  <cols>
    <col min="1" max="1" width="18.26953125" customWidth="1"/>
    <col min="2" max="2" width="13.90625" customWidth="1"/>
  </cols>
  <sheetData>
    <row r="5" spans="1:2" x14ac:dyDescent="0.35">
      <c r="B5" t="s">
        <v>94</v>
      </c>
    </row>
    <row r="6" spans="1:2" ht="43.5" x14ac:dyDescent="0.35">
      <c r="B6" s="11" t="s">
        <v>93</v>
      </c>
    </row>
    <row r="7" spans="1:2" x14ac:dyDescent="0.35">
      <c r="A7" t="s">
        <v>92</v>
      </c>
      <c r="B7" s="44">
        <v>9220</v>
      </c>
    </row>
    <row r="8" spans="1:2" x14ac:dyDescent="0.35">
      <c r="A8" t="s">
        <v>91</v>
      </c>
      <c r="B8" s="4">
        <f>B7</f>
        <v>9220</v>
      </c>
    </row>
    <row r="9" spans="1:2" x14ac:dyDescent="0.35">
      <c r="A9" t="s">
        <v>90</v>
      </c>
      <c r="B9" s="4">
        <v>3.6900000000000002E-5</v>
      </c>
    </row>
    <row r="10" spans="1:2" x14ac:dyDescent="0.35">
      <c r="A10" t="s">
        <v>89</v>
      </c>
      <c r="B10" s="4">
        <v>5.3300000000000005E-4</v>
      </c>
    </row>
    <row r="11" spans="1:2" x14ac:dyDescent="0.35">
      <c r="A11" t="s">
        <v>88</v>
      </c>
      <c r="B11" s="4">
        <v>8740</v>
      </c>
    </row>
    <row r="12" spans="1:2" x14ac:dyDescent="0.35">
      <c r="A12" t="s">
        <v>87</v>
      </c>
      <c r="B12">
        <v>47.3</v>
      </c>
    </row>
    <row r="13" spans="1:2" x14ac:dyDescent="0.35">
      <c r="A13" t="s">
        <v>86</v>
      </c>
      <c r="B13">
        <v>1.48</v>
      </c>
    </row>
    <row r="14" spans="1:2" x14ac:dyDescent="0.35">
      <c r="A14" s="21" t="s">
        <v>85</v>
      </c>
      <c r="B14" s="4">
        <v>0.10100000000000001</v>
      </c>
    </row>
    <row r="17" spans="1:1" x14ac:dyDescent="0.35">
      <c r="A17" s="43" t="s">
        <v>84</v>
      </c>
    </row>
    <row r="19" spans="1:1" x14ac:dyDescent="0.35">
      <c r="A19" t="s">
        <v>83</v>
      </c>
    </row>
  </sheetData>
  <hyperlinks>
    <hyperlink ref="A1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8"/>
  <sheetViews>
    <sheetView topLeftCell="B1" workbookViewId="0">
      <selection activeCell="F5" sqref="F5:G5"/>
    </sheetView>
  </sheetViews>
  <sheetFormatPr defaultRowHeight="14.5" x14ac:dyDescent="0.35"/>
  <cols>
    <col min="1" max="1" width="42.6328125" customWidth="1"/>
    <col min="2" max="2" width="85.1796875" customWidth="1"/>
    <col min="4" max="4" width="9.81640625" customWidth="1"/>
    <col min="6" max="6" width="34" customWidth="1"/>
  </cols>
  <sheetData>
    <row r="1" spans="1:7" ht="26" x14ac:dyDescent="0.45">
      <c r="A1" s="97" t="s">
        <v>3</v>
      </c>
      <c r="D1" s="130"/>
      <c r="F1" s="157" t="s">
        <v>200</v>
      </c>
    </row>
    <row r="2" spans="1:7" x14ac:dyDescent="0.35">
      <c r="D2" s="130"/>
      <c r="F2" t="s">
        <v>199</v>
      </c>
    </row>
    <row r="3" spans="1:7" ht="18.5" x14ac:dyDescent="0.35">
      <c r="A3" s="138" t="s">
        <v>201</v>
      </c>
      <c r="B3" s="139"/>
      <c r="C3" s="139"/>
      <c r="D3" s="140"/>
    </row>
    <row r="4" spans="1:7" x14ac:dyDescent="0.35">
      <c r="A4" s="129" t="s">
        <v>203</v>
      </c>
      <c r="B4" s="129" t="s">
        <v>204</v>
      </c>
      <c r="C4" s="95"/>
      <c r="D4" s="130"/>
    </row>
    <row r="5" spans="1:7" x14ac:dyDescent="0.35">
      <c r="A5" s="100" t="s">
        <v>206</v>
      </c>
      <c r="B5" s="100"/>
      <c r="C5" s="133"/>
      <c r="D5" s="134"/>
      <c r="F5" s="203" t="s">
        <v>153</v>
      </c>
      <c r="G5" s="203" t="s">
        <v>154</v>
      </c>
    </row>
    <row r="6" spans="1:7" x14ac:dyDescent="0.35">
      <c r="A6" s="107" t="s">
        <v>207</v>
      </c>
      <c r="B6" s="108" t="s">
        <v>208</v>
      </c>
      <c r="C6">
        <v>3.7400000000000003E-2</v>
      </c>
      <c r="D6" s="130" t="s">
        <v>22</v>
      </c>
      <c r="F6" t="s">
        <v>155</v>
      </c>
      <c r="G6">
        <v>3.3350541980432977E-9</v>
      </c>
    </row>
    <row r="7" spans="1:7" x14ac:dyDescent="0.35">
      <c r="A7" s="107" t="s">
        <v>209</v>
      </c>
      <c r="B7" s="108" t="s">
        <v>210</v>
      </c>
      <c r="D7" s="130"/>
      <c r="F7" t="s">
        <v>156</v>
      </c>
      <c r="G7">
        <v>6.0289545462114914E-8</v>
      </c>
    </row>
    <row r="8" spans="1:7" x14ac:dyDescent="0.35">
      <c r="A8" s="108"/>
      <c r="B8" s="108"/>
      <c r="D8" s="130"/>
      <c r="F8" t="s">
        <v>157</v>
      </c>
      <c r="G8">
        <v>3.5103247293921734E-4</v>
      </c>
    </row>
    <row r="9" spans="1:7" x14ac:dyDescent="0.35">
      <c r="A9" s="109" t="s">
        <v>211</v>
      </c>
      <c r="B9" s="109"/>
      <c r="C9" s="131" t="s">
        <v>154</v>
      </c>
      <c r="D9" s="132"/>
      <c r="F9" t="s">
        <v>158</v>
      </c>
      <c r="G9">
        <v>1.8585005419050865E-3</v>
      </c>
    </row>
    <row r="10" spans="1:7" x14ac:dyDescent="0.35">
      <c r="A10" s="107" t="s">
        <v>212</v>
      </c>
      <c r="B10" s="110" t="s">
        <v>213</v>
      </c>
      <c r="C10" s="9">
        <f>0.0147/C6</f>
        <v>0.39304812834224595</v>
      </c>
      <c r="D10" s="130"/>
      <c r="F10" t="s">
        <v>159</v>
      </c>
      <c r="G10">
        <v>3.1789492891308788E-4</v>
      </c>
    </row>
    <row r="11" spans="1:7" x14ac:dyDescent="0.35">
      <c r="A11" s="107"/>
      <c r="B11" s="107" t="s">
        <v>214</v>
      </c>
      <c r="C11" s="9"/>
      <c r="D11" s="130"/>
      <c r="F11" t="s">
        <v>160</v>
      </c>
      <c r="G11">
        <v>2.8518826047294635E-4</v>
      </c>
    </row>
    <row r="12" spans="1:7" x14ac:dyDescent="0.35">
      <c r="A12" s="111" t="s">
        <v>165</v>
      </c>
      <c r="B12" s="107" t="s">
        <v>215</v>
      </c>
      <c r="C12" s="9">
        <f>0.0383*C10</f>
        <v>1.505374331550802E-2</v>
      </c>
      <c r="D12" s="130"/>
      <c r="F12" t="s">
        <v>161</v>
      </c>
      <c r="G12">
        <v>5.4758068501248969E-7</v>
      </c>
    </row>
    <row r="13" spans="1:7" x14ac:dyDescent="0.35">
      <c r="A13" s="112" t="s">
        <v>216</v>
      </c>
      <c r="B13" s="107" t="s">
        <v>217</v>
      </c>
      <c r="C13" s="9"/>
      <c r="D13" s="130"/>
      <c r="F13" t="s">
        <v>162</v>
      </c>
      <c r="G13">
        <v>1.0261659668193174E-8</v>
      </c>
    </row>
    <row r="14" spans="1:7" x14ac:dyDescent="0.35">
      <c r="A14" s="112" t="s">
        <v>218</v>
      </c>
      <c r="B14" s="108" t="s">
        <v>219</v>
      </c>
      <c r="C14" s="9"/>
      <c r="D14" s="130"/>
      <c r="F14" t="s">
        <v>163</v>
      </c>
      <c r="G14">
        <v>3.634369878559534E-9</v>
      </c>
    </row>
    <row r="15" spans="1:7" x14ac:dyDescent="0.35">
      <c r="A15" s="112" t="s">
        <v>220</v>
      </c>
      <c r="B15" s="108" t="s">
        <v>221</v>
      </c>
      <c r="C15" s="9"/>
      <c r="D15" s="130"/>
      <c r="F15" t="s">
        <v>164</v>
      </c>
      <c r="G15">
        <v>2.8658473328169057E-4</v>
      </c>
    </row>
    <row r="16" spans="1:7" x14ac:dyDescent="0.35">
      <c r="A16" s="112" t="s">
        <v>222</v>
      </c>
      <c r="B16" s="108" t="s">
        <v>223</v>
      </c>
      <c r="C16" s="9"/>
      <c r="D16" s="130"/>
      <c r="F16" t="s">
        <v>166</v>
      </c>
      <c r="G16">
        <v>4.9639983347210656E-4</v>
      </c>
    </row>
    <row r="17" spans="1:7" x14ac:dyDescent="0.35">
      <c r="A17" s="112" t="s">
        <v>224</v>
      </c>
      <c r="B17" s="108" t="s">
        <v>225</v>
      </c>
      <c r="C17" s="9"/>
      <c r="D17" s="130"/>
      <c r="F17" t="s">
        <v>167</v>
      </c>
      <c r="G17">
        <v>2.4267027477102414E-4</v>
      </c>
    </row>
    <row r="18" spans="1:7" x14ac:dyDescent="0.35">
      <c r="A18" s="112" t="s">
        <v>226</v>
      </c>
      <c r="B18" s="113" t="s">
        <v>227</v>
      </c>
      <c r="C18" s="102"/>
      <c r="D18" s="130"/>
      <c r="F18" t="s">
        <v>168</v>
      </c>
      <c r="G18">
        <v>3.4205729639050794E-9</v>
      </c>
    </row>
    <row r="19" spans="1:7" x14ac:dyDescent="0.35">
      <c r="A19" s="112" t="s">
        <v>228</v>
      </c>
      <c r="B19" s="107" t="s">
        <v>229</v>
      </c>
      <c r="C19" s="103"/>
      <c r="D19" s="130"/>
      <c r="F19" t="s">
        <v>169</v>
      </c>
      <c r="G19">
        <v>1.4679734414238137E-8</v>
      </c>
    </row>
    <row r="20" spans="1:7" x14ac:dyDescent="0.35">
      <c r="A20" s="112" t="s">
        <v>230</v>
      </c>
      <c r="B20" s="107" t="s">
        <v>231</v>
      </c>
      <c r="C20" s="103"/>
      <c r="D20" s="130"/>
      <c r="F20" t="s">
        <v>170</v>
      </c>
      <c r="G20">
        <v>1.1401712467943382E-9</v>
      </c>
    </row>
    <row r="21" spans="1:7" x14ac:dyDescent="0.35">
      <c r="A21" s="112" t="s">
        <v>232</v>
      </c>
      <c r="B21" s="107" t="s">
        <v>233</v>
      </c>
      <c r="C21" s="103"/>
      <c r="D21" s="130"/>
      <c r="F21" t="s">
        <v>171</v>
      </c>
      <c r="G21">
        <v>4.8839300582847635E-6</v>
      </c>
    </row>
    <row r="22" spans="1:7" x14ac:dyDescent="0.35">
      <c r="A22" s="112" t="s">
        <v>234</v>
      </c>
      <c r="B22" s="107" t="s">
        <v>235</v>
      </c>
      <c r="C22" s="103"/>
      <c r="D22" s="130"/>
      <c r="F22" t="s">
        <v>172</v>
      </c>
      <c r="G22">
        <v>2.074496253122398E-4</v>
      </c>
    </row>
    <row r="23" spans="1:7" x14ac:dyDescent="0.35">
      <c r="A23" s="112" t="s">
        <v>236</v>
      </c>
      <c r="B23" s="113" t="s">
        <v>237</v>
      </c>
      <c r="C23" s="103"/>
      <c r="D23" s="130"/>
      <c r="F23" t="s">
        <v>173</v>
      </c>
      <c r="G23">
        <v>1.164452890840966E-7</v>
      </c>
    </row>
    <row r="24" spans="1:7" x14ac:dyDescent="0.35">
      <c r="A24" s="114" t="s">
        <v>177</v>
      </c>
      <c r="B24" s="115"/>
      <c r="C24" s="105">
        <f>0.05*C12</f>
        <v>7.5268716577540104E-4</v>
      </c>
      <c r="D24" s="130"/>
      <c r="F24" t="s">
        <v>174</v>
      </c>
      <c r="G24">
        <v>4.6167097635271613E-5</v>
      </c>
    </row>
    <row r="25" spans="1:7" x14ac:dyDescent="0.35">
      <c r="A25" s="112" t="s">
        <v>238</v>
      </c>
      <c r="B25" s="107" t="s">
        <v>239</v>
      </c>
      <c r="C25" s="103"/>
      <c r="D25" s="130"/>
      <c r="F25" t="s">
        <v>175</v>
      </c>
      <c r="G25">
        <v>1.2715882422564533E-4</v>
      </c>
    </row>
    <row r="26" spans="1:7" x14ac:dyDescent="0.35">
      <c r="A26" s="112" t="s">
        <v>240</v>
      </c>
      <c r="B26" s="107" t="s">
        <v>241</v>
      </c>
      <c r="C26" s="103"/>
      <c r="D26" s="130"/>
      <c r="F26" t="s">
        <v>176</v>
      </c>
      <c r="G26">
        <v>2.6818519280941644E-5</v>
      </c>
    </row>
    <row r="27" spans="1:7" x14ac:dyDescent="0.35">
      <c r="A27" s="112" t="s">
        <v>242</v>
      </c>
      <c r="B27" s="107" t="s">
        <v>243</v>
      </c>
      <c r="C27" s="103"/>
      <c r="D27" s="130"/>
      <c r="F27" t="s">
        <v>177</v>
      </c>
      <c r="G27">
        <v>2.832346356586474E-4</v>
      </c>
    </row>
    <row r="28" spans="1:7" x14ac:dyDescent="0.35">
      <c r="A28" s="112" t="s">
        <v>244</v>
      </c>
      <c r="B28" s="107" t="s">
        <v>245</v>
      </c>
      <c r="C28" s="103"/>
      <c r="D28" s="130"/>
      <c r="F28" t="s">
        <v>178</v>
      </c>
      <c r="G28">
        <v>2.5398007437552047E-7</v>
      </c>
    </row>
    <row r="29" spans="1:7" x14ac:dyDescent="0.35">
      <c r="A29" s="114" t="s">
        <v>196</v>
      </c>
      <c r="B29" s="115"/>
      <c r="C29" s="105">
        <f>0.05*C12</f>
        <v>7.5268716577540104E-4</v>
      </c>
      <c r="D29" s="130"/>
      <c r="F29" t="s">
        <v>179</v>
      </c>
      <c r="G29">
        <v>5.5584236634054961E-9</v>
      </c>
    </row>
    <row r="30" spans="1:7" x14ac:dyDescent="0.35">
      <c r="A30" s="112" t="s">
        <v>246</v>
      </c>
      <c r="B30" s="113" t="s">
        <v>247</v>
      </c>
      <c r="C30" s="103"/>
      <c r="D30" s="10"/>
      <c r="F30" t="s">
        <v>180</v>
      </c>
      <c r="G30">
        <v>5.7508408865945061E-8</v>
      </c>
    </row>
    <row r="31" spans="1:7" x14ac:dyDescent="0.35">
      <c r="A31" s="112" t="s">
        <v>248</v>
      </c>
      <c r="B31" s="107" t="s">
        <v>249</v>
      </c>
      <c r="C31" s="103"/>
      <c r="D31" s="130"/>
      <c r="F31" t="s">
        <v>181</v>
      </c>
      <c r="G31">
        <v>3.7170459153621993E-7</v>
      </c>
    </row>
    <row r="32" spans="1:7" x14ac:dyDescent="0.35">
      <c r="A32" s="112" t="s">
        <v>250</v>
      </c>
      <c r="B32" s="107" t="s">
        <v>251</v>
      </c>
      <c r="C32" s="103"/>
      <c r="D32" s="130"/>
      <c r="F32" t="s">
        <v>182</v>
      </c>
      <c r="G32">
        <v>1.4737181230641135E-8</v>
      </c>
    </row>
    <row r="33" spans="1:7" x14ac:dyDescent="0.35">
      <c r="A33" s="111" t="s">
        <v>252</v>
      </c>
      <c r="B33" s="108" t="s">
        <v>253</v>
      </c>
      <c r="C33" s="9"/>
      <c r="D33" s="130"/>
      <c r="F33" t="s">
        <v>183</v>
      </c>
      <c r="G33">
        <v>1.5262281432139885E-6</v>
      </c>
    </row>
    <row r="34" spans="1:7" x14ac:dyDescent="0.35">
      <c r="A34" s="116" t="s">
        <v>254</v>
      </c>
      <c r="B34" s="117"/>
      <c r="C34" s="106">
        <f>(0.00000863)*C10</f>
        <v>3.3920053475935828E-6</v>
      </c>
      <c r="D34" s="130"/>
      <c r="F34" t="s">
        <v>184</v>
      </c>
      <c r="G34">
        <v>4.2599479421315577E-5</v>
      </c>
    </row>
    <row r="35" spans="1:7" x14ac:dyDescent="0.35">
      <c r="A35" s="111" t="s">
        <v>255</v>
      </c>
      <c r="B35" s="108" t="s">
        <v>256</v>
      </c>
      <c r="C35" s="9"/>
      <c r="D35" s="130"/>
      <c r="F35" t="s">
        <v>185</v>
      </c>
      <c r="G35">
        <v>5.8701082431307245E-4</v>
      </c>
    </row>
    <row r="36" spans="1:7" x14ac:dyDescent="0.35">
      <c r="A36" s="111" t="s">
        <v>257</v>
      </c>
      <c r="B36" s="108" t="s">
        <v>256</v>
      </c>
      <c r="C36" s="9"/>
      <c r="D36" s="130"/>
      <c r="F36" t="s">
        <v>186</v>
      </c>
      <c r="G36">
        <v>7.2827165083263955E-9</v>
      </c>
    </row>
    <row r="37" spans="1:7" x14ac:dyDescent="0.35">
      <c r="A37" s="111" t="s">
        <v>232</v>
      </c>
      <c r="B37" s="108" t="s">
        <v>258</v>
      </c>
      <c r="C37" s="9"/>
      <c r="D37" s="130"/>
      <c r="F37" t="s">
        <v>187</v>
      </c>
      <c r="G37">
        <v>2.715512073272273E-4</v>
      </c>
    </row>
    <row r="38" spans="1:7" x14ac:dyDescent="0.35">
      <c r="A38" s="116" t="s">
        <v>259</v>
      </c>
      <c r="B38" s="115"/>
      <c r="C38" s="105">
        <f>0.00459*C10</f>
        <v>1.8040909090909091E-3</v>
      </c>
      <c r="D38" s="130"/>
      <c r="F38" t="s">
        <v>188</v>
      </c>
      <c r="G38">
        <v>2.8648555439467823E-4</v>
      </c>
    </row>
    <row r="39" spans="1:7" x14ac:dyDescent="0.35">
      <c r="A39" s="111" t="s">
        <v>260</v>
      </c>
      <c r="B39" s="108" t="s">
        <v>261</v>
      </c>
      <c r="C39" s="9"/>
      <c r="D39" s="130"/>
      <c r="F39" t="s">
        <v>189</v>
      </c>
      <c r="G39">
        <v>2.8648555439467823E-4</v>
      </c>
    </row>
    <row r="40" spans="1:7" x14ac:dyDescent="0.35">
      <c r="A40" s="111" t="s">
        <v>262</v>
      </c>
      <c r="B40" s="108" t="s">
        <v>263</v>
      </c>
      <c r="C40" s="9"/>
      <c r="D40" s="130"/>
      <c r="F40" t="s">
        <v>190</v>
      </c>
      <c r="G40">
        <v>4.731466220374514E-7</v>
      </c>
    </row>
    <row r="41" spans="1:7" x14ac:dyDescent="0.35">
      <c r="A41" s="111"/>
      <c r="B41" s="108" t="s">
        <v>264</v>
      </c>
      <c r="C41" s="9"/>
      <c r="D41" s="130"/>
      <c r="F41" t="s">
        <v>191</v>
      </c>
      <c r="G41">
        <v>2.8648555439467823E-4</v>
      </c>
    </row>
    <row r="42" spans="1:7" x14ac:dyDescent="0.35">
      <c r="A42" s="111" t="s">
        <v>265</v>
      </c>
      <c r="B42" s="108" t="s">
        <v>266</v>
      </c>
      <c r="C42" s="9"/>
      <c r="D42" s="130"/>
      <c r="F42" t="s">
        <v>192</v>
      </c>
      <c r="G42">
        <v>5.7649223444176034E-4</v>
      </c>
    </row>
    <row r="43" spans="1:7" x14ac:dyDescent="0.35">
      <c r="A43" s="111" t="s">
        <v>236</v>
      </c>
      <c r="B43" s="113" t="s">
        <v>267</v>
      </c>
      <c r="C43" s="9"/>
      <c r="D43" s="130"/>
      <c r="F43" t="s">
        <v>193</v>
      </c>
      <c r="G43">
        <v>4.3086594504579524E-5</v>
      </c>
    </row>
    <row r="44" spans="1:7" x14ac:dyDescent="0.35">
      <c r="A44" s="118" t="s">
        <v>268</v>
      </c>
      <c r="B44" s="108" t="s">
        <v>269</v>
      </c>
      <c r="C44" s="9"/>
      <c r="D44" s="130"/>
      <c r="F44" t="s">
        <v>194</v>
      </c>
      <c r="G44">
        <v>2.8648555439467823E-4</v>
      </c>
    </row>
    <row r="45" spans="1:7" x14ac:dyDescent="0.35">
      <c r="A45" s="112" t="s">
        <v>270</v>
      </c>
      <c r="B45" s="108" t="s">
        <v>271</v>
      </c>
      <c r="C45" s="9"/>
      <c r="D45" s="130"/>
      <c r="F45" t="s">
        <v>195</v>
      </c>
      <c r="G45">
        <v>5.1199942465179071E-6</v>
      </c>
    </row>
    <row r="46" spans="1:7" x14ac:dyDescent="0.35">
      <c r="A46" s="119" t="s">
        <v>272</v>
      </c>
      <c r="B46" s="120" t="s">
        <v>273</v>
      </c>
      <c r="C46" s="9"/>
      <c r="D46" s="130"/>
      <c r="F46" t="s">
        <v>196</v>
      </c>
      <c r="G46">
        <v>3.0421752952625771E-4</v>
      </c>
    </row>
    <row r="47" spans="1:7" x14ac:dyDescent="0.35">
      <c r="A47" s="121" t="s">
        <v>274</v>
      </c>
      <c r="B47" s="120" t="s">
        <v>275</v>
      </c>
      <c r="C47" s="9"/>
      <c r="D47" s="130"/>
      <c r="F47" t="s">
        <v>197</v>
      </c>
      <c r="G47">
        <v>7.2789342214820985E-5</v>
      </c>
    </row>
    <row r="48" spans="1:7" x14ac:dyDescent="0.35">
      <c r="A48" s="119" t="s">
        <v>276</v>
      </c>
      <c r="B48" s="107" t="s">
        <v>277</v>
      </c>
      <c r="C48" s="9"/>
      <c r="D48" s="130"/>
      <c r="F48" t="s">
        <v>198</v>
      </c>
      <c r="G48">
        <v>7.5862640347438134E-3</v>
      </c>
    </row>
    <row r="49" spans="1:4" x14ac:dyDescent="0.35">
      <c r="A49" s="121" t="s">
        <v>278</v>
      </c>
      <c r="B49" s="108" t="s">
        <v>279</v>
      </c>
      <c r="C49" s="9"/>
      <c r="D49" s="130"/>
    </row>
    <row r="50" spans="1:4" x14ac:dyDescent="0.35">
      <c r="A50" s="122" t="s">
        <v>274</v>
      </c>
      <c r="B50" s="108" t="s">
        <v>275</v>
      </c>
      <c r="C50" s="9"/>
      <c r="D50" s="130"/>
    </row>
    <row r="51" spans="1:4" x14ac:dyDescent="0.35">
      <c r="A51" s="119" t="s">
        <v>280</v>
      </c>
      <c r="B51" s="107" t="s">
        <v>281</v>
      </c>
      <c r="C51" s="9"/>
      <c r="D51" s="130"/>
    </row>
    <row r="52" spans="1:4" x14ac:dyDescent="0.35">
      <c r="A52" s="112" t="s">
        <v>282</v>
      </c>
      <c r="B52" s="107" t="s">
        <v>283</v>
      </c>
      <c r="C52" s="101"/>
      <c r="D52" s="130"/>
    </row>
    <row r="53" spans="1:4" x14ac:dyDescent="0.35">
      <c r="A53" s="119" t="s">
        <v>284</v>
      </c>
      <c r="B53" s="108" t="s">
        <v>269</v>
      </c>
      <c r="C53" s="9"/>
      <c r="D53" s="130"/>
    </row>
    <row r="54" spans="1:4" x14ac:dyDescent="0.35">
      <c r="A54" s="119" t="s">
        <v>285</v>
      </c>
      <c r="B54" s="108"/>
      <c r="C54" s="9"/>
      <c r="D54" s="130"/>
    </row>
    <row r="55" spans="1:4" x14ac:dyDescent="0.35">
      <c r="A55" s="119" t="s">
        <v>286</v>
      </c>
      <c r="B55" s="108"/>
      <c r="D55" s="130"/>
    </row>
    <row r="56" spans="1:4" x14ac:dyDescent="0.35">
      <c r="A56" s="119" t="s">
        <v>270</v>
      </c>
      <c r="B56" s="108" t="s">
        <v>287</v>
      </c>
      <c r="D56" s="130"/>
    </row>
    <row r="57" spans="1:4" x14ac:dyDescent="0.35">
      <c r="A57" s="119" t="s">
        <v>288</v>
      </c>
      <c r="B57" s="108"/>
      <c r="D57" s="130"/>
    </row>
    <row r="58" spans="1:4" x14ac:dyDescent="0.35">
      <c r="A58" s="119" t="s">
        <v>289</v>
      </c>
      <c r="B58" s="108" t="s">
        <v>290</v>
      </c>
      <c r="D58" s="130"/>
    </row>
    <row r="59" spans="1:4" x14ac:dyDescent="0.35">
      <c r="A59" s="121" t="s">
        <v>291</v>
      </c>
      <c r="B59" s="108" t="s">
        <v>292</v>
      </c>
      <c r="D59" s="130"/>
    </row>
    <row r="60" spans="1:4" x14ac:dyDescent="0.35">
      <c r="A60" s="121" t="s">
        <v>272</v>
      </c>
      <c r="B60" s="123" t="s">
        <v>273</v>
      </c>
      <c r="D60" s="130"/>
    </row>
    <row r="61" spans="1:4" x14ac:dyDescent="0.35">
      <c r="A61" s="122" t="s">
        <v>274</v>
      </c>
      <c r="B61" s="123" t="s">
        <v>275</v>
      </c>
      <c r="D61" s="130"/>
    </row>
    <row r="62" spans="1:4" x14ac:dyDescent="0.35">
      <c r="A62" s="119" t="s">
        <v>276</v>
      </c>
      <c r="B62" s="107" t="s">
        <v>277</v>
      </c>
      <c r="D62" s="130"/>
    </row>
    <row r="63" spans="1:4" x14ac:dyDescent="0.35">
      <c r="A63" s="121" t="s">
        <v>278</v>
      </c>
      <c r="B63" s="108" t="s">
        <v>279</v>
      </c>
      <c r="D63" s="130"/>
    </row>
    <row r="64" spans="1:4" x14ac:dyDescent="0.35">
      <c r="A64" s="122" t="s">
        <v>274</v>
      </c>
      <c r="B64" s="108" t="s">
        <v>275</v>
      </c>
      <c r="D64" s="130"/>
    </row>
    <row r="65" spans="1:4" x14ac:dyDescent="0.35">
      <c r="A65" s="119" t="s">
        <v>293</v>
      </c>
      <c r="B65" s="113" t="s">
        <v>294</v>
      </c>
      <c r="C65" s="9"/>
      <c r="D65" s="130"/>
    </row>
    <row r="66" spans="1:4" x14ac:dyDescent="0.35">
      <c r="A66" s="112" t="s">
        <v>278</v>
      </c>
      <c r="B66" s="108" t="s">
        <v>279</v>
      </c>
      <c r="C66" s="9"/>
      <c r="D66" s="130"/>
    </row>
    <row r="67" spans="1:4" x14ac:dyDescent="0.35">
      <c r="A67" s="119" t="s">
        <v>274</v>
      </c>
      <c r="B67" s="108" t="s">
        <v>275</v>
      </c>
      <c r="C67" s="9"/>
      <c r="D67" s="130"/>
    </row>
    <row r="68" spans="1:4" x14ac:dyDescent="0.35">
      <c r="A68" s="112" t="s">
        <v>272</v>
      </c>
      <c r="B68" s="108" t="s">
        <v>273</v>
      </c>
      <c r="C68" s="9"/>
      <c r="D68" s="130"/>
    </row>
    <row r="69" spans="1:4" x14ac:dyDescent="0.35">
      <c r="A69" s="119" t="s">
        <v>274</v>
      </c>
      <c r="B69" s="108" t="s">
        <v>275</v>
      </c>
      <c r="C69" s="9"/>
      <c r="D69" s="130"/>
    </row>
    <row r="70" spans="1:4" x14ac:dyDescent="0.35">
      <c r="A70" s="111" t="s">
        <v>295</v>
      </c>
      <c r="B70" s="108" t="s">
        <v>296</v>
      </c>
      <c r="C70" s="9"/>
      <c r="D70" s="130"/>
    </row>
    <row r="71" spans="1:4" x14ac:dyDescent="0.35">
      <c r="A71" s="111"/>
      <c r="B71" s="108" t="s">
        <v>297</v>
      </c>
      <c r="C71" s="9"/>
      <c r="D71" s="130"/>
    </row>
    <row r="72" spans="1:4" x14ac:dyDescent="0.35">
      <c r="A72" s="111" t="s">
        <v>298</v>
      </c>
      <c r="B72" s="108" t="s">
        <v>299</v>
      </c>
      <c r="C72" s="9"/>
      <c r="D72" s="130"/>
    </row>
    <row r="73" spans="1:4" x14ac:dyDescent="0.35">
      <c r="A73" s="111" t="s">
        <v>300</v>
      </c>
      <c r="B73" s="108" t="s">
        <v>301</v>
      </c>
      <c r="C73" s="9"/>
      <c r="D73" s="130"/>
    </row>
    <row r="74" spans="1:4" x14ac:dyDescent="0.35">
      <c r="A74" s="116" t="s">
        <v>302</v>
      </c>
      <c r="B74" s="115"/>
      <c r="C74" s="105">
        <f>0.00117*C10</f>
        <v>4.598663101604278E-4</v>
      </c>
      <c r="D74" s="130"/>
    </row>
    <row r="75" spans="1:4" x14ac:dyDescent="0.35">
      <c r="A75" s="111" t="s">
        <v>303</v>
      </c>
      <c r="B75" s="108" t="s">
        <v>304</v>
      </c>
      <c r="C75" s="9"/>
      <c r="D75" s="130"/>
    </row>
    <row r="76" spans="1:4" x14ac:dyDescent="0.35">
      <c r="A76" s="111" t="s">
        <v>305</v>
      </c>
      <c r="B76" s="108" t="s">
        <v>306</v>
      </c>
      <c r="C76" s="9"/>
      <c r="D76" s="130"/>
    </row>
    <row r="77" spans="1:4" x14ac:dyDescent="0.35">
      <c r="A77" s="123" t="s">
        <v>307</v>
      </c>
      <c r="B77" s="108" t="s">
        <v>308</v>
      </c>
      <c r="C77" s="9"/>
      <c r="D77" s="130"/>
    </row>
    <row r="78" spans="1:4" x14ac:dyDescent="0.35">
      <c r="A78" s="123" t="s">
        <v>309</v>
      </c>
      <c r="B78" s="108" t="s">
        <v>310</v>
      </c>
      <c r="C78" s="9"/>
      <c r="D78" s="130"/>
    </row>
    <row r="79" spans="1:4" x14ac:dyDescent="0.35">
      <c r="A79" s="123" t="s">
        <v>311</v>
      </c>
      <c r="B79" s="108" t="s">
        <v>312</v>
      </c>
      <c r="C79" s="9"/>
      <c r="D79" s="130"/>
    </row>
    <row r="80" spans="1:4" x14ac:dyDescent="0.35">
      <c r="A80" s="116" t="s">
        <v>194</v>
      </c>
      <c r="B80" s="117"/>
      <c r="C80" s="106">
        <f>(0.0000123)*C10</f>
        <v>4.8344919786096252E-6</v>
      </c>
      <c r="D80" s="130"/>
    </row>
    <row r="81" spans="1:4" x14ac:dyDescent="0.35">
      <c r="A81" s="123" t="s">
        <v>244</v>
      </c>
      <c r="B81" s="124" t="s">
        <v>313</v>
      </c>
      <c r="C81" s="9"/>
      <c r="D81" s="130"/>
    </row>
    <row r="82" spans="1:4" x14ac:dyDescent="0.35">
      <c r="A82" s="111" t="s">
        <v>314</v>
      </c>
      <c r="B82" s="124" t="s">
        <v>315</v>
      </c>
      <c r="C82" s="9"/>
      <c r="D82" s="130"/>
    </row>
    <row r="83" spans="1:4" x14ac:dyDescent="0.35">
      <c r="A83" s="125" t="s">
        <v>8</v>
      </c>
      <c r="B83" s="110" t="s">
        <v>213</v>
      </c>
      <c r="C83" s="9">
        <f>0.0216/C6</f>
        <v>0.57754010695187163</v>
      </c>
      <c r="D83" s="130"/>
    </row>
    <row r="84" spans="1:4" x14ac:dyDescent="0.35">
      <c r="A84" s="107" t="s">
        <v>316</v>
      </c>
      <c r="B84" s="110" t="s">
        <v>213</v>
      </c>
      <c r="C84" s="9">
        <f>0.00113/C6</f>
        <v>3.0213903743315503E-2</v>
      </c>
      <c r="D84" s="130"/>
    </row>
    <row r="85" spans="1:4" x14ac:dyDescent="0.35">
      <c r="A85" s="107"/>
      <c r="B85" s="107" t="s">
        <v>317</v>
      </c>
      <c r="D85" s="130"/>
    </row>
    <row r="86" spans="1:4" x14ac:dyDescent="0.35">
      <c r="A86" s="108"/>
      <c r="B86" s="108" t="s">
        <v>318</v>
      </c>
      <c r="D86" s="130"/>
    </row>
    <row r="87" spans="1:4" x14ac:dyDescent="0.35">
      <c r="A87" s="111" t="s">
        <v>216</v>
      </c>
      <c r="B87" s="108" t="s">
        <v>319</v>
      </c>
      <c r="D87" s="130"/>
    </row>
    <row r="88" spans="1:4" x14ac:dyDescent="0.35">
      <c r="A88" s="111" t="s">
        <v>320</v>
      </c>
      <c r="B88" s="108" t="s">
        <v>321</v>
      </c>
      <c r="D88" s="130"/>
    </row>
    <row r="89" spans="1:4" x14ac:dyDescent="0.35">
      <c r="A89" s="116" t="s">
        <v>322</v>
      </c>
      <c r="B89" s="115"/>
      <c r="C89" s="106">
        <f>(0.43/1000)*C84</f>
        <v>1.2991978609625665E-5</v>
      </c>
      <c r="D89" s="130"/>
    </row>
    <row r="90" spans="1:4" x14ac:dyDescent="0.35">
      <c r="A90" s="116" t="s">
        <v>323</v>
      </c>
      <c r="B90" s="115"/>
      <c r="C90" s="106">
        <f>(0.154/1000)*C84</f>
        <v>4.6529411764705872E-6</v>
      </c>
      <c r="D90" s="130"/>
    </row>
    <row r="91" spans="1:4" x14ac:dyDescent="0.35">
      <c r="A91" s="111" t="s">
        <v>324</v>
      </c>
      <c r="B91" s="108" t="s">
        <v>325</v>
      </c>
      <c r="C91" s="9">
        <f>(1.14/1)*C84</f>
        <v>3.4443850267379672E-2</v>
      </c>
      <c r="D91" s="130"/>
    </row>
    <row r="92" spans="1:4" x14ac:dyDescent="0.35">
      <c r="A92" s="111"/>
      <c r="B92" s="107" t="s">
        <v>297</v>
      </c>
      <c r="C92" s="103"/>
      <c r="D92" s="10"/>
    </row>
    <row r="93" spans="1:4" x14ac:dyDescent="0.35">
      <c r="A93" s="114" t="s">
        <v>155</v>
      </c>
      <c r="B93" s="115"/>
      <c r="C93" s="105">
        <f>C91*(0.093353/1000)</f>
        <v>3.2154367540106945E-6</v>
      </c>
      <c r="D93" s="130"/>
    </row>
    <row r="94" spans="1:4" x14ac:dyDescent="0.35">
      <c r="A94" s="114" t="s">
        <v>326</v>
      </c>
      <c r="B94" s="115"/>
      <c r="C94" s="105">
        <f>(1.9162/1000)*C91</f>
        <v>6.6001305882352928E-5</v>
      </c>
      <c r="D94" s="10"/>
    </row>
    <row r="95" spans="1:4" x14ac:dyDescent="0.35">
      <c r="A95" s="114" t="s">
        <v>156</v>
      </c>
      <c r="B95" s="115"/>
      <c r="C95" s="105">
        <f>(0.29109/1000)*C91</f>
        <v>1.002626037433155E-5</v>
      </c>
      <c r="D95" s="130"/>
    </row>
    <row r="96" spans="1:4" x14ac:dyDescent="0.35">
      <c r="A96" s="114" t="s">
        <v>159</v>
      </c>
      <c r="B96" s="115"/>
      <c r="C96" s="105">
        <f>(56.84/1000)*C91</f>
        <v>1.9577884491978606E-3</v>
      </c>
      <c r="D96" s="10"/>
    </row>
    <row r="97" spans="1:4" x14ac:dyDescent="0.35">
      <c r="A97" s="114" t="s">
        <v>162</v>
      </c>
      <c r="B97" s="115"/>
      <c r="C97" s="105">
        <f>(0.001451/1000)*C91</f>
        <v>4.9978026737967901E-8</v>
      </c>
      <c r="D97" s="130"/>
    </row>
    <row r="98" spans="1:4" x14ac:dyDescent="0.35">
      <c r="A98" s="126" t="s">
        <v>327</v>
      </c>
      <c r="B98" s="108" t="s">
        <v>328</v>
      </c>
      <c r="C98" s="103"/>
      <c r="D98" s="10"/>
    </row>
    <row r="99" spans="1:4" x14ac:dyDescent="0.35">
      <c r="A99" s="114" t="s">
        <v>168</v>
      </c>
      <c r="B99" s="115"/>
      <c r="C99" s="105">
        <f>(0.40142/1000)*C91</f>
        <v>1.3826450374331548E-5</v>
      </c>
      <c r="D99" s="130"/>
    </row>
    <row r="100" spans="1:4" x14ac:dyDescent="0.35">
      <c r="A100" s="114" t="s">
        <v>329</v>
      </c>
      <c r="B100" s="115"/>
      <c r="C100" s="105">
        <f>(0.40519/1000)*C91</f>
        <v>1.3956303689839569E-5</v>
      </c>
      <c r="D100" s="130"/>
    </row>
    <row r="101" spans="1:4" x14ac:dyDescent="0.35">
      <c r="A101" s="112" t="s">
        <v>330</v>
      </c>
      <c r="B101" s="107" t="s">
        <v>275</v>
      </c>
      <c r="C101" s="9"/>
      <c r="D101" s="130"/>
    </row>
    <row r="102" spans="1:4" x14ac:dyDescent="0.35">
      <c r="A102" s="114" t="s">
        <v>169</v>
      </c>
      <c r="B102" s="115"/>
      <c r="C102" s="105">
        <f>(0.085159/1000)*C91</f>
        <v>2.9332038449197856E-6</v>
      </c>
      <c r="D102" s="10"/>
    </row>
    <row r="103" spans="1:4" x14ac:dyDescent="0.35">
      <c r="A103" s="112" t="s">
        <v>331</v>
      </c>
      <c r="B103" s="107" t="s">
        <v>256</v>
      </c>
      <c r="C103" s="9"/>
      <c r="D103" s="130"/>
    </row>
    <row r="104" spans="1:4" x14ac:dyDescent="0.35">
      <c r="A104" s="114" t="s">
        <v>173</v>
      </c>
      <c r="B104" s="115"/>
      <c r="C104" s="105">
        <f>(0.28273/1000)*C91</f>
        <v>9.7383097860962544E-6</v>
      </c>
      <c r="D104" s="10"/>
    </row>
    <row r="105" spans="1:4" x14ac:dyDescent="0.35">
      <c r="A105" s="112" t="s">
        <v>332</v>
      </c>
      <c r="B105" s="107" t="s">
        <v>261</v>
      </c>
      <c r="C105" s="9"/>
      <c r="D105" s="130"/>
    </row>
    <row r="106" spans="1:4" x14ac:dyDescent="0.35">
      <c r="A106" s="126" t="s">
        <v>333</v>
      </c>
      <c r="B106" s="108" t="s">
        <v>301</v>
      </c>
      <c r="C106" s="9"/>
      <c r="D106" s="130"/>
    </row>
    <row r="107" spans="1:4" x14ac:dyDescent="0.35">
      <c r="A107" s="112" t="s">
        <v>334</v>
      </c>
      <c r="B107" s="107" t="s">
        <v>335</v>
      </c>
      <c r="C107" s="9"/>
      <c r="D107" s="130"/>
    </row>
    <row r="108" spans="1:4" x14ac:dyDescent="0.35">
      <c r="A108" s="114" t="s">
        <v>336</v>
      </c>
      <c r="B108" s="115"/>
      <c r="C108" s="105">
        <f>(0.010594/1000)*C91</f>
        <v>3.6489814973262018E-7</v>
      </c>
      <c r="D108" s="130"/>
    </row>
    <row r="109" spans="1:4" x14ac:dyDescent="0.35">
      <c r="A109" s="114" t="s">
        <v>178</v>
      </c>
      <c r="B109" s="115"/>
      <c r="C109" s="105">
        <f>(0.016871/1000)*C91</f>
        <v>5.8110219786096247E-7</v>
      </c>
      <c r="D109" s="130"/>
    </row>
    <row r="110" spans="1:4" x14ac:dyDescent="0.35">
      <c r="A110" s="112" t="s">
        <v>337</v>
      </c>
      <c r="B110" s="113" t="s">
        <v>338</v>
      </c>
      <c r="C110" s="9"/>
      <c r="D110" s="130"/>
    </row>
    <row r="111" spans="1:4" x14ac:dyDescent="0.35">
      <c r="A111" s="114" t="s">
        <v>180</v>
      </c>
      <c r="B111" s="115"/>
      <c r="C111" s="105">
        <f>(1.206/1000)*C91</f>
        <v>4.1539283422459889E-5</v>
      </c>
      <c r="D111" s="130"/>
    </row>
    <row r="112" spans="1:4" x14ac:dyDescent="0.35">
      <c r="A112" s="114" t="s">
        <v>181</v>
      </c>
      <c r="B112" s="115"/>
      <c r="C112" s="105">
        <f>(0.27414/1000)*C91</f>
        <v>9.4424371122994629E-6</v>
      </c>
      <c r="D112" s="130"/>
    </row>
    <row r="113" spans="1:4" x14ac:dyDescent="0.35">
      <c r="A113" s="112" t="s">
        <v>339</v>
      </c>
      <c r="B113" s="108" t="s">
        <v>340</v>
      </c>
      <c r="C113" s="9"/>
      <c r="D113" s="130"/>
    </row>
    <row r="114" spans="1:4" x14ac:dyDescent="0.35">
      <c r="A114" s="112" t="s">
        <v>341</v>
      </c>
      <c r="B114" s="113" t="s">
        <v>342</v>
      </c>
      <c r="C114" s="9"/>
      <c r="D114" s="130"/>
    </row>
    <row r="115" spans="1:4" x14ac:dyDescent="0.35">
      <c r="A115" s="114" t="s">
        <v>184</v>
      </c>
      <c r="B115" s="115"/>
      <c r="C115" s="105">
        <f>(39.576/1000)*C91</f>
        <v>1.363149818181818E-3</v>
      </c>
      <c r="D115" s="130"/>
    </row>
    <row r="116" spans="1:4" x14ac:dyDescent="0.35">
      <c r="A116" s="114" t="s">
        <v>186</v>
      </c>
      <c r="B116" s="115"/>
      <c r="C116" s="105">
        <f>(0.045808/1000)*C91</f>
        <v>1.577803893048128E-6</v>
      </c>
      <c r="D116" s="130"/>
    </row>
    <row r="117" spans="1:4" x14ac:dyDescent="0.35">
      <c r="A117" s="114" t="s">
        <v>343</v>
      </c>
      <c r="B117" s="115"/>
      <c r="C117" s="105">
        <f>(0.031844/1000)*C91</f>
        <v>1.0968299679144381E-6</v>
      </c>
      <c r="D117" s="130"/>
    </row>
    <row r="118" spans="1:4" x14ac:dyDescent="0.35">
      <c r="A118" s="126" t="s">
        <v>344</v>
      </c>
      <c r="B118" s="108" t="s">
        <v>345</v>
      </c>
      <c r="C118" s="9"/>
      <c r="D118" s="130"/>
    </row>
    <row r="119" spans="1:4" x14ac:dyDescent="0.35">
      <c r="A119" s="126" t="s">
        <v>309</v>
      </c>
      <c r="B119" s="108" t="s">
        <v>346</v>
      </c>
      <c r="C119" s="9"/>
      <c r="D119" s="130"/>
    </row>
    <row r="120" spans="1:4" x14ac:dyDescent="0.35">
      <c r="A120" s="114" t="s">
        <v>195</v>
      </c>
      <c r="B120" s="115"/>
      <c r="C120" s="105">
        <f>(0.017276/1000)*C91</f>
        <v>5.9505195721925112E-7</v>
      </c>
      <c r="D120" s="130"/>
    </row>
    <row r="121" spans="1:4" x14ac:dyDescent="0.35">
      <c r="A121" s="114" t="s">
        <v>196</v>
      </c>
      <c r="B121" s="115"/>
      <c r="C121" s="105">
        <f>(21.483/1000)*C91</f>
        <v>7.3995723529411759E-4</v>
      </c>
      <c r="D121" s="130"/>
    </row>
    <row r="122" spans="1:4" x14ac:dyDescent="0.35">
      <c r="A122" s="116" t="s">
        <v>347</v>
      </c>
      <c r="B122" s="115"/>
      <c r="C122" s="105">
        <f>(70.6/1000)*C84</f>
        <v>2.1331016042780743E-3</v>
      </c>
      <c r="D122" s="130"/>
    </row>
    <row r="123" spans="1:4" x14ac:dyDescent="0.35">
      <c r="A123" s="116" t="s">
        <v>348</v>
      </c>
      <c r="B123" s="115"/>
      <c r="C123" s="105">
        <f>(17/1000)*C84</f>
        <v>5.1363636363636357E-4</v>
      </c>
      <c r="D123" s="130"/>
    </row>
    <row r="124" spans="1:4" x14ac:dyDescent="0.35">
      <c r="A124" s="111" t="s">
        <v>331</v>
      </c>
      <c r="B124" s="108" t="s">
        <v>256</v>
      </c>
      <c r="C124" s="9"/>
      <c r="D124" s="130"/>
    </row>
    <row r="125" spans="1:4" x14ac:dyDescent="0.35">
      <c r="A125" s="116" t="s">
        <v>349</v>
      </c>
      <c r="B125" s="115"/>
      <c r="C125" s="106">
        <f>(0.182/1000)*C84</f>
        <v>5.4989304812834214E-6</v>
      </c>
      <c r="D125" s="130"/>
    </row>
    <row r="126" spans="1:4" x14ac:dyDescent="0.35">
      <c r="A126" s="116" t="s">
        <v>350</v>
      </c>
      <c r="B126" s="115"/>
      <c r="C126" s="105">
        <f>(47.5/1000)*C84</f>
        <v>1.4351604278074865E-3</v>
      </c>
      <c r="D126" s="130"/>
    </row>
    <row r="127" spans="1:4" x14ac:dyDescent="0.35">
      <c r="A127" s="111" t="s">
        <v>351</v>
      </c>
      <c r="B127" s="108" t="s">
        <v>261</v>
      </c>
      <c r="C127" s="9"/>
      <c r="D127" s="130"/>
    </row>
    <row r="128" spans="1:4" x14ac:dyDescent="0.35">
      <c r="A128" s="111" t="s">
        <v>352</v>
      </c>
      <c r="B128" s="108" t="s">
        <v>263</v>
      </c>
      <c r="C128" s="9"/>
      <c r="D128" s="130"/>
    </row>
    <row r="129" spans="1:4" x14ac:dyDescent="0.35">
      <c r="A129" s="111"/>
      <c r="B129" s="108" t="s">
        <v>264</v>
      </c>
      <c r="C129" s="9"/>
      <c r="D129" s="130"/>
    </row>
    <row r="130" spans="1:4" x14ac:dyDescent="0.35">
      <c r="A130" s="111" t="s">
        <v>353</v>
      </c>
      <c r="B130" s="108" t="s">
        <v>354</v>
      </c>
      <c r="C130" s="9"/>
      <c r="D130" s="130"/>
    </row>
    <row r="131" spans="1:4" x14ac:dyDescent="0.35">
      <c r="A131" s="111" t="s">
        <v>337</v>
      </c>
      <c r="B131" s="113" t="s">
        <v>355</v>
      </c>
      <c r="C131" s="9"/>
      <c r="D131" s="130"/>
    </row>
    <row r="132" spans="1:4" x14ac:dyDescent="0.35">
      <c r="A132" s="116" t="s">
        <v>356</v>
      </c>
      <c r="B132" s="115"/>
      <c r="C132" s="105">
        <f>(4.21/1000)*C84</f>
        <v>1.2720053475935827E-4</v>
      </c>
      <c r="D132" s="130"/>
    </row>
    <row r="133" spans="1:4" x14ac:dyDescent="0.35">
      <c r="A133" s="111" t="s">
        <v>357</v>
      </c>
      <c r="B133" s="108" t="s">
        <v>358</v>
      </c>
      <c r="C133" s="9"/>
      <c r="D133" s="130"/>
    </row>
    <row r="134" spans="1:4" x14ac:dyDescent="0.35">
      <c r="A134" s="116" t="s">
        <v>188</v>
      </c>
      <c r="B134" s="115"/>
      <c r="C134" s="105">
        <f>(96.1/1000)*C84</f>
        <v>2.9035561497326194E-3</v>
      </c>
      <c r="D134" s="130"/>
    </row>
    <row r="135" spans="1:4" x14ac:dyDescent="0.35">
      <c r="A135" s="111" t="s">
        <v>305</v>
      </c>
      <c r="B135" s="108" t="s">
        <v>359</v>
      </c>
      <c r="C135" s="9"/>
      <c r="D135" s="130"/>
    </row>
    <row r="136" spans="1:4" x14ac:dyDescent="0.35">
      <c r="A136" s="116" t="s">
        <v>360</v>
      </c>
      <c r="B136" s="115"/>
      <c r="C136" s="105">
        <f>(2.37/1000)*C84</f>
        <v>7.1606951871657754E-5</v>
      </c>
      <c r="D136" s="130"/>
    </row>
    <row r="137" spans="1:4" x14ac:dyDescent="0.35">
      <c r="A137" s="111" t="s">
        <v>361</v>
      </c>
      <c r="B137" s="108" t="s">
        <v>308</v>
      </c>
      <c r="C137" s="9"/>
      <c r="D137" s="130"/>
    </row>
    <row r="138" spans="1:4" x14ac:dyDescent="0.35">
      <c r="A138" s="116" t="s">
        <v>192</v>
      </c>
      <c r="B138" s="115"/>
      <c r="C138" s="105">
        <f>(276/1000)*C84</f>
        <v>8.33903743315508E-3</v>
      </c>
      <c r="D138" s="130"/>
    </row>
    <row r="139" spans="1:4" x14ac:dyDescent="0.35">
      <c r="A139" s="111" t="s">
        <v>362</v>
      </c>
      <c r="B139" s="108" t="s">
        <v>363</v>
      </c>
      <c r="C139" s="9"/>
      <c r="D139" s="130"/>
    </row>
    <row r="140" spans="1:4" x14ac:dyDescent="0.35">
      <c r="A140" s="111" t="s">
        <v>309</v>
      </c>
      <c r="B140" s="108" t="s">
        <v>310</v>
      </c>
      <c r="C140" s="9"/>
      <c r="D140" s="130"/>
    </row>
    <row r="141" spans="1:4" x14ac:dyDescent="0.35">
      <c r="A141" s="111" t="s">
        <v>311</v>
      </c>
      <c r="B141" s="108" t="s">
        <v>364</v>
      </c>
      <c r="C141" s="9"/>
      <c r="D141" s="130"/>
    </row>
    <row r="142" spans="1:4" x14ac:dyDescent="0.35">
      <c r="A142" s="116" t="s">
        <v>365</v>
      </c>
      <c r="B142" s="115"/>
      <c r="C142" s="105">
        <f>(10.2/1000)*C84</f>
        <v>3.0818181818181812E-4</v>
      </c>
      <c r="D142" s="130"/>
    </row>
    <row r="143" spans="1:4" x14ac:dyDescent="0.35">
      <c r="A143" s="111" t="s">
        <v>366</v>
      </c>
      <c r="B143" s="108" t="s">
        <v>367</v>
      </c>
      <c r="D143" s="130"/>
    </row>
    <row r="144" spans="1:4" x14ac:dyDescent="0.35">
      <c r="A144" s="111"/>
      <c r="B144" s="108"/>
      <c r="D144" s="130"/>
    </row>
    <row r="145" spans="1:4" x14ac:dyDescent="0.35">
      <c r="A145" s="127" t="s">
        <v>38</v>
      </c>
      <c r="B145" s="127"/>
      <c r="D145" s="130"/>
    </row>
    <row r="146" spans="1:4" x14ac:dyDescent="0.35">
      <c r="A146" s="107" t="s">
        <v>368</v>
      </c>
      <c r="B146" s="108" t="s">
        <v>369</v>
      </c>
      <c r="D146" s="130"/>
    </row>
    <row r="147" spans="1:4" x14ac:dyDescent="0.35">
      <c r="A147" s="123" t="s">
        <v>284</v>
      </c>
      <c r="B147" s="108" t="s">
        <v>370</v>
      </c>
      <c r="D147" s="130"/>
    </row>
    <row r="148" spans="1:4" x14ac:dyDescent="0.35">
      <c r="A148" s="123" t="s">
        <v>371</v>
      </c>
      <c r="B148" s="108" t="s">
        <v>372</v>
      </c>
      <c r="D148" s="130"/>
    </row>
    <row r="149" spans="1:4" x14ac:dyDescent="0.35">
      <c r="A149" s="108"/>
      <c r="B149" s="108"/>
      <c r="D149" s="130"/>
    </row>
    <row r="150" spans="1:4" x14ac:dyDescent="0.35">
      <c r="A150" s="127" t="s">
        <v>373</v>
      </c>
      <c r="B150" s="127"/>
      <c r="D150" s="130"/>
    </row>
    <row r="151" spans="1:4" x14ac:dyDescent="0.35">
      <c r="A151" s="128" t="s">
        <v>374</v>
      </c>
      <c r="B151" s="128" t="s">
        <v>375</v>
      </c>
      <c r="D151" s="130"/>
    </row>
    <row r="152" spans="1:4" x14ac:dyDescent="0.35">
      <c r="A152" s="128"/>
      <c r="B152" s="128" t="s">
        <v>376</v>
      </c>
      <c r="D152" s="130"/>
    </row>
    <row r="153" spans="1:4" x14ac:dyDescent="0.35">
      <c r="A153" s="123" t="s">
        <v>377</v>
      </c>
      <c r="B153" s="108" t="s">
        <v>378</v>
      </c>
      <c r="D153" s="130"/>
    </row>
    <row r="154" spans="1:4" x14ac:dyDescent="0.35">
      <c r="A154" s="108"/>
      <c r="B154" s="108"/>
      <c r="D154" s="130"/>
    </row>
    <row r="155" spans="1:4" x14ac:dyDescent="0.35">
      <c r="A155" s="127"/>
      <c r="B155" s="127" t="s">
        <v>40</v>
      </c>
      <c r="D155" s="130"/>
    </row>
    <row r="156" spans="1:4" x14ac:dyDescent="0.35">
      <c r="A156" s="108" t="s">
        <v>379</v>
      </c>
      <c r="B156" s="108" t="s">
        <v>380</v>
      </c>
      <c r="D156" s="130"/>
    </row>
    <row r="157" spans="1:4" x14ac:dyDescent="0.35">
      <c r="A157" s="108"/>
      <c r="B157" s="108" t="s">
        <v>381</v>
      </c>
      <c r="D157" s="130"/>
    </row>
    <row r="158" spans="1:4" x14ac:dyDescent="0.35">
      <c r="A158" s="108" t="s">
        <v>382</v>
      </c>
      <c r="B158" s="108" t="s">
        <v>383</v>
      </c>
      <c r="D158" s="130"/>
    </row>
    <row r="159" spans="1:4" x14ac:dyDescent="0.35">
      <c r="A159" s="108"/>
      <c r="B159" s="108" t="s">
        <v>384</v>
      </c>
      <c r="D159" s="130"/>
    </row>
    <row r="160" spans="1:4" x14ac:dyDescent="0.35">
      <c r="A160" s="108" t="s">
        <v>385</v>
      </c>
      <c r="B160" s="108" t="s">
        <v>386</v>
      </c>
      <c r="D160" s="130"/>
    </row>
    <row r="161" spans="1:4" x14ac:dyDescent="0.35">
      <c r="A161" s="108"/>
      <c r="B161" s="108" t="s">
        <v>387</v>
      </c>
      <c r="D161" s="130"/>
    </row>
    <row r="162" spans="1:4" x14ac:dyDescent="0.35">
      <c r="D162" s="130"/>
    </row>
    <row r="163" spans="1:4" x14ac:dyDescent="0.35">
      <c r="D163" s="130"/>
    </row>
    <row r="164" spans="1:4" x14ac:dyDescent="0.35">
      <c r="D164" s="130"/>
    </row>
    <row r="165" spans="1:4" x14ac:dyDescent="0.35">
      <c r="D165" s="130"/>
    </row>
    <row r="166" spans="1:4" x14ac:dyDescent="0.35">
      <c r="D166" s="130"/>
    </row>
    <row r="167" spans="1:4" x14ac:dyDescent="0.35">
      <c r="D167" s="130"/>
    </row>
    <row r="168" spans="1:4" x14ac:dyDescent="0.35">
      <c r="D168" s="130"/>
    </row>
  </sheetData>
  <mergeCells count="4">
    <mergeCell ref="A5:B5"/>
    <mergeCell ref="C5:D5"/>
    <mergeCell ref="A9:B9"/>
    <mergeCell ref="C9:D9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90" zoomScaleNormal="90" workbookViewId="0">
      <selection activeCell="C3" sqref="C3"/>
    </sheetView>
  </sheetViews>
  <sheetFormatPr defaultRowHeight="14.5" x14ac:dyDescent="0.35"/>
  <cols>
    <col min="1" max="1" width="16.7265625" style="135" customWidth="1"/>
    <col min="3" max="3" width="11.90625" customWidth="1"/>
    <col min="4" max="4" width="22" customWidth="1"/>
    <col min="9" max="9" width="12.54296875" customWidth="1"/>
    <col min="10" max="10" width="10.1796875" customWidth="1"/>
    <col min="15" max="15" width="16" customWidth="1"/>
    <col min="16" max="16" width="11.453125" customWidth="1"/>
    <col min="18" max="18" width="10.26953125" customWidth="1"/>
    <col min="19" max="19" width="13" customWidth="1"/>
  </cols>
  <sheetData>
    <row r="1" spans="1:21" ht="26" x14ac:dyDescent="0.35">
      <c r="A1" s="97" t="s">
        <v>3</v>
      </c>
    </row>
    <row r="3" spans="1:21" s="142" customFormat="1" ht="72.5" x14ac:dyDescent="0.35">
      <c r="A3" s="141" t="s">
        <v>202</v>
      </c>
      <c r="F3" s="142" t="s">
        <v>8</v>
      </c>
      <c r="G3" s="142" t="s">
        <v>48</v>
      </c>
      <c r="H3" s="142" t="s">
        <v>9</v>
      </c>
      <c r="I3" s="142" t="s">
        <v>57</v>
      </c>
      <c r="J3" s="142" t="s">
        <v>10</v>
      </c>
      <c r="K3" s="142" t="s">
        <v>11</v>
      </c>
      <c r="L3" s="142" t="s">
        <v>12</v>
      </c>
      <c r="M3" s="142" t="s">
        <v>13</v>
      </c>
      <c r="N3" s="142" t="s">
        <v>14</v>
      </c>
      <c r="O3" s="142" t="s">
        <v>58</v>
      </c>
      <c r="P3" s="142" t="s">
        <v>15</v>
      </c>
      <c r="Q3" s="142" t="s">
        <v>16</v>
      </c>
      <c r="R3" s="142" t="s">
        <v>17</v>
      </c>
      <c r="S3" s="142" t="s">
        <v>18</v>
      </c>
      <c r="T3" s="142" t="s">
        <v>19</v>
      </c>
    </row>
    <row r="4" spans="1:21" x14ac:dyDescent="0.35">
      <c r="A4" s="135" t="s">
        <v>59</v>
      </c>
      <c r="C4" t="s">
        <v>7</v>
      </c>
      <c r="D4" t="s">
        <v>20</v>
      </c>
      <c r="E4" s="4">
        <v>0.41921495996004898</v>
      </c>
      <c r="F4" s="17">
        <v>1.34459611556447E-2</v>
      </c>
      <c r="G4" s="4">
        <v>1.42280507187678E-3</v>
      </c>
      <c r="H4" s="17">
        <v>0.11603806189232101</v>
      </c>
      <c r="I4" s="4">
        <v>3.0085796879039901E-2</v>
      </c>
      <c r="J4" s="4">
        <v>8.0370057595308998E-3</v>
      </c>
      <c r="K4" s="4">
        <v>1.6714083148271E-3</v>
      </c>
      <c r="L4" s="4">
        <v>3.4792528343304601E-3</v>
      </c>
      <c r="M4" s="4">
        <v>1.68277851208031E-3</v>
      </c>
      <c r="N4" s="4">
        <v>0</v>
      </c>
      <c r="O4" s="17">
        <v>0.120583261320547</v>
      </c>
      <c r="P4" s="17">
        <v>0.12051458550989499</v>
      </c>
      <c r="Q4" s="4">
        <v>0</v>
      </c>
      <c r="R4" s="4">
        <v>4.3237250097678798E-4</v>
      </c>
      <c r="S4" s="4">
        <v>1.8216702089790099E-3</v>
      </c>
      <c r="T4" s="4">
        <v>0</v>
      </c>
      <c r="U4" s="4"/>
    </row>
    <row r="5" spans="1:21" x14ac:dyDescent="0.35">
      <c r="A5" s="136" t="s">
        <v>21</v>
      </c>
      <c r="C5" t="s">
        <v>22</v>
      </c>
      <c r="D5" t="s">
        <v>23</v>
      </c>
      <c r="E5" s="4">
        <v>6.9164741581317202</v>
      </c>
      <c r="F5" s="4">
        <v>0.36308369934069801</v>
      </c>
      <c r="G5" s="4">
        <v>3.7095423405376297E-2</v>
      </c>
      <c r="H5" s="4">
        <v>4.5000930986319201</v>
      </c>
      <c r="I5" s="4">
        <v>1.1653037789463001</v>
      </c>
      <c r="J5" s="4">
        <v>0.17534845288298001</v>
      </c>
      <c r="K5" s="4">
        <v>6.0012260261284298E-2</v>
      </c>
      <c r="L5" s="4">
        <v>0.12434967980470001</v>
      </c>
      <c r="M5" s="4">
        <v>6.0428387946517101E-2</v>
      </c>
      <c r="N5" s="4">
        <v>0</v>
      </c>
      <c r="O5" s="4">
        <v>7.3672195119799999E-2</v>
      </c>
      <c r="P5" s="4">
        <v>0.35507915458751999</v>
      </c>
      <c r="Q5" s="4">
        <v>0</v>
      </c>
      <c r="R5" s="4">
        <v>1.2924929863655701E-3</v>
      </c>
      <c r="S5" s="4">
        <v>7.1553421825186296E-4</v>
      </c>
      <c r="T5" s="4">
        <v>0</v>
      </c>
      <c r="U5" s="4"/>
    </row>
    <row r="6" spans="1:21" x14ac:dyDescent="0.35">
      <c r="D6" s="2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4"/>
    </row>
    <row r="7" spans="1:21" x14ac:dyDescent="0.35">
      <c r="A7" s="136" t="s">
        <v>24</v>
      </c>
      <c r="B7" s="2"/>
      <c r="C7" t="s">
        <v>22</v>
      </c>
      <c r="D7" t="s">
        <v>25</v>
      </c>
      <c r="E7" s="4">
        <v>1.7393780782539201E-2</v>
      </c>
      <c r="F7" s="4">
        <v>6.6890972380596197E-4</v>
      </c>
      <c r="G7" s="4">
        <v>8.2215920590557898E-5</v>
      </c>
      <c r="H7" s="17">
        <v>7.5523587557492404E-3</v>
      </c>
      <c r="I7" s="17">
        <v>1.8331551184373001E-3</v>
      </c>
      <c r="J7" s="4">
        <v>2.7414383404976601E-4</v>
      </c>
      <c r="K7" s="4">
        <v>9.1483050070683403E-5</v>
      </c>
      <c r="L7" s="4">
        <v>1.9043258904260699E-4</v>
      </c>
      <c r="M7" s="4">
        <v>1.8016738842540101E-4</v>
      </c>
      <c r="N7" s="4">
        <v>2.4540093805591101E-5</v>
      </c>
      <c r="O7" s="17">
        <v>2.7673643047599998E-3</v>
      </c>
      <c r="P7" s="17">
        <v>3.6092886706532998E-3</v>
      </c>
      <c r="Q7" s="4">
        <v>9.5309500000000001E-10</v>
      </c>
      <c r="R7" s="4">
        <v>4.2755441881466601E-6</v>
      </c>
      <c r="S7" s="4">
        <v>1.1544483586561599E-4</v>
      </c>
      <c r="T7" s="4">
        <v>0</v>
      </c>
      <c r="U7" s="4"/>
    </row>
    <row r="8" spans="1:21" x14ac:dyDescent="0.35">
      <c r="D8" t="s">
        <v>26</v>
      </c>
      <c r="E8" s="4">
        <v>2.5594881601351902E-8</v>
      </c>
      <c r="F8" s="4">
        <v>5.7573367266567498E-10</v>
      </c>
      <c r="G8" s="4">
        <v>8.0223131900418796E-11</v>
      </c>
      <c r="H8" s="4">
        <v>2.1298658948432699E-8</v>
      </c>
      <c r="I8" s="4">
        <v>1.5378152638687001E-9</v>
      </c>
      <c r="J8" s="4">
        <v>1.1367135070483799E-9</v>
      </c>
      <c r="K8" s="4">
        <v>2.3542122308718798E-10</v>
      </c>
      <c r="L8" s="4">
        <v>4.9005629024085305E-10</v>
      </c>
      <c r="M8" s="4">
        <v>2.3702278589763699E-10</v>
      </c>
      <c r="N8" s="4">
        <v>0</v>
      </c>
      <c r="O8" s="4">
        <v>0</v>
      </c>
      <c r="P8" s="4">
        <v>0</v>
      </c>
      <c r="Q8" s="4">
        <v>0</v>
      </c>
      <c r="R8" s="4">
        <v>9.9762143811127392E-13</v>
      </c>
      <c r="S8" s="4">
        <v>2.2391567721767898E-12</v>
      </c>
      <c r="T8" s="4">
        <v>0</v>
      </c>
      <c r="U8" s="4"/>
    </row>
    <row r="9" spans="1:21" x14ac:dyDescent="0.35">
      <c r="D9" t="s">
        <v>27</v>
      </c>
      <c r="E9" s="4">
        <v>1.0118822135528E-3</v>
      </c>
      <c r="F9" s="4">
        <v>1.8194814736177099E-5</v>
      </c>
      <c r="G9" s="4">
        <v>1.9776125857766701E-6</v>
      </c>
      <c r="H9" s="17">
        <v>2.88921458782638E-4</v>
      </c>
      <c r="I9" s="4">
        <v>6.5475727962802295E-5</v>
      </c>
      <c r="J9" s="4">
        <v>1.29001268884516E-5</v>
      </c>
      <c r="K9" s="17">
        <v>3.4433796112577202E-4</v>
      </c>
      <c r="L9" s="4">
        <v>1.0369895044113999E-5</v>
      </c>
      <c r="M9" s="17">
        <v>2.6832085792391898E-4</v>
      </c>
      <c r="N9" s="4">
        <v>1.2915838845047999E-6</v>
      </c>
      <c r="O9" s="4">
        <v>0</v>
      </c>
      <c r="P9" s="4">
        <v>0</v>
      </c>
      <c r="Q9" s="4">
        <v>0</v>
      </c>
      <c r="R9" s="4">
        <v>2.82011222907899E-8</v>
      </c>
      <c r="S9" s="4">
        <v>6.3973496356408196E-8</v>
      </c>
      <c r="T9" s="4">
        <v>0</v>
      </c>
      <c r="U9" s="4"/>
    </row>
    <row r="10" spans="1:21" x14ac:dyDescent="0.35">
      <c r="D10" t="s">
        <v>28</v>
      </c>
      <c r="E10" s="4">
        <v>4.1808852475432798E-6</v>
      </c>
      <c r="F10" s="4">
        <v>1.31384133687867E-7</v>
      </c>
      <c r="G10" s="4">
        <v>1.63967753572587E-8</v>
      </c>
      <c r="H10" s="4">
        <v>3.2113247976241499E-6</v>
      </c>
      <c r="I10" s="4">
        <v>3.6275802819687798E-7</v>
      </c>
      <c r="J10" s="4">
        <v>1.29191725049104E-7</v>
      </c>
      <c r="K10" s="4">
        <v>7.8496402751902101E-8</v>
      </c>
      <c r="L10" s="4">
        <v>1.6340019949733701E-7</v>
      </c>
      <c r="M10" s="4">
        <v>7.9030398418780899E-8</v>
      </c>
      <c r="N10" s="4">
        <v>0</v>
      </c>
      <c r="O10" s="4">
        <v>0</v>
      </c>
      <c r="P10" s="4">
        <v>0</v>
      </c>
      <c r="Q10" s="4">
        <v>0</v>
      </c>
      <c r="R10" s="4">
        <v>4.8618840551554299E-9</v>
      </c>
      <c r="S10" s="4">
        <v>4.0409029048494597E-9</v>
      </c>
      <c r="T10" s="4">
        <v>0</v>
      </c>
      <c r="U10" s="4"/>
    </row>
    <row r="11" spans="1:21" x14ac:dyDescent="0.35">
      <c r="D11" t="s">
        <v>29</v>
      </c>
      <c r="E11" s="4">
        <v>4.3338476386279201E-11</v>
      </c>
      <c r="F11" s="4">
        <v>6.4025397841472203E-13</v>
      </c>
      <c r="G11" s="4">
        <v>1.13701826562051E-13</v>
      </c>
      <c r="H11" s="4">
        <v>3.7646268594817899E-11</v>
      </c>
      <c r="I11" s="4">
        <v>1.05719265448596E-12</v>
      </c>
      <c r="J11" s="4">
        <v>2.10585884370021E-12</v>
      </c>
      <c r="K11" s="4">
        <v>4.3201075884881299E-13</v>
      </c>
      <c r="L11" s="4">
        <v>8.9927983930136904E-13</v>
      </c>
      <c r="M11" s="4">
        <v>4.3494971554204598E-13</v>
      </c>
      <c r="N11" s="4">
        <v>0</v>
      </c>
      <c r="O11" s="4">
        <v>0</v>
      </c>
      <c r="P11" s="4">
        <v>0</v>
      </c>
      <c r="Q11" s="4">
        <v>0</v>
      </c>
      <c r="R11" s="4">
        <v>9.7079227828542396E-16</v>
      </c>
      <c r="S11" s="4">
        <v>7.9893823278370302E-15</v>
      </c>
      <c r="T11" s="4">
        <v>0</v>
      </c>
      <c r="U11" s="4"/>
    </row>
    <row r="12" spans="1:21" x14ac:dyDescent="0.35">
      <c r="D12" s="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4"/>
    </row>
    <row r="13" spans="1:21" x14ac:dyDescent="0.35">
      <c r="A13" s="136" t="s">
        <v>30</v>
      </c>
      <c r="B13" s="2"/>
      <c r="C13" t="s">
        <v>22</v>
      </c>
      <c r="D13" t="s">
        <v>31</v>
      </c>
      <c r="E13" s="4">
        <v>1.9655734288027399E-4</v>
      </c>
      <c r="F13" s="4">
        <v>7.1399177668980993E-8</v>
      </c>
      <c r="G13" s="4">
        <v>1.35327283889648E-13</v>
      </c>
      <c r="H13" s="4">
        <v>9.0901210765799302E-10</v>
      </c>
      <c r="I13" s="4">
        <v>1.6273895249895101E-16</v>
      </c>
      <c r="J13" s="4">
        <v>1.12829592258025E-15</v>
      </c>
      <c r="K13" s="4">
        <v>2.28085261865382E-16</v>
      </c>
      <c r="L13" s="4">
        <v>4.7478553065419602E-16</v>
      </c>
      <c r="M13" s="4">
        <v>2.2963691994650999E-16</v>
      </c>
      <c r="N13" s="4">
        <v>0</v>
      </c>
      <c r="O13" s="4">
        <v>4.7345554430379703E-9</v>
      </c>
      <c r="P13" s="17">
        <v>1.964802999975E-4</v>
      </c>
      <c r="Q13" s="4">
        <v>0</v>
      </c>
      <c r="R13" s="4">
        <v>4.90975707372198E-19</v>
      </c>
      <c r="S13" s="4">
        <v>1.9924139645037499E-18</v>
      </c>
      <c r="T13" s="4">
        <v>0</v>
      </c>
      <c r="U13" s="4"/>
    </row>
    <row r="14" spans="1:21" x14ac:dyDescent="0.35">
      <c r="D14" t="s">
        <v>64</v>
      </c>
      <c r="E14" s="4">
        <v>4.0315053045383902E-13</v>
      </c>
      <c r="F14" s="4">
        <v>4.0315053045383902E-13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/>
    </row>
    <row r="15" spans="1:21" x14ac:dyDescent="0.35">
      <c r="D15" t="s">
        <v>32</v>
      </c>
      <c r="E15" s="4">
        <v>5.83399815816403E-4</v>
      </c>
      <c r="F15" s="17">
        <v>4.22127320898368E-4</v>
      </c>
      <c r="G15" s="4">
        <v>9.3316163318331405E-5</v>
      </c>
      <c r="H15" s="4">
        <v>6.7956331599703504E-5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/>
    </row>
    <row r="16" spans="1:21" x14ac:dyDescent="0.35">
      <c r="D16" t="s">
        <v>33</v>
      </c>
      <c r="E16" s="4">
        <v>1.2151324329160599E-13</v>
      </c>
      <c r="F16" s="4">
        <v>2.9721014252700599E-16</v>
      </c>
      <c r="G16" s="4">
        <v>1.5582885275955199E-17</v>
      </c>
      <c r="H16" s="4">
        <v>1.21200450263803E-13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/>
    </row>
    <row r="17" spans="1:21" x14ac:dyDescent="0.35">
      <c r="D17" t="s">
        <v>60</v>
      </c>
      <c r="E17" s="4">
        <v>2.1783066105616001E-3</v>
      </c>
      <c r="F17" s="17">
        <v>1.94953664077496E-3</v>
      </c>
      <c r="G17" s="4">
        <v>1.32372270692866E-4</v>
      </c>
      <c r="H17" s="4">
        <v>9.6397699093779901E-5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/>
    </row>
    <row r="18" spans="1:21" x14ac:dyDescent="0.35">
      <c r="D18" t="s">
        <v>34</v>
      </c>
      <c r="E18" s="4">
        <v>1.10962510176195E-9</v>
      </c>
      <c r="F18" s="4">
        <v>2.7140402618896499E-12</v>
      </c>
      <c r="G18" s="4">
        <v>1.4229856920682699E-13</v>
      </c>
      <c r="H18" s="4">
        <v>1.10676876293085E-9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/>
    </row>
    <row r="19" spans="1:21" x14ac:dyDescent="0.35">
      <c r="D19" s="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4"/>
    </row>
    <row r="20" spans="1:21" x14ac:dyDescent="0.35">
      <c r="A20" s="136" t="s">
        <v>73</v>
      </c>
      <c r="B20" s="2"/>
      <c r="C20" t="s">
        <v>22</v>
      </c>
      <c r="D20" t="s">
        <v>35</v>
      </c>
      <c r="E20" s="4">
        <v>2.8984632801505598E-5</v>
      </c>
      <c r="F20" s="4">
        <v>1.23206229022167E-6</v>
      </c>
      <c r="G20" s="4">
        <v>1.8767954181793699E-7</v>
      </c>
      <c r="H20" s="4">
        <v>1.1790187420133601E-5</v>
      </c>
      <c r="I20" s="4">
        <v>1.71283193740205E-6</v>
      </c>
      <c r="J20" s="4">
        <v>1.77102302284911E-7</v>
      </c>
      <c r="K20" s="4">
        <v>2.1272421803126499E-6</v>
      </c>
      <c r="L20" s="4">
        <v>4.4281357004302499E-6</v>
      </c>
      <c r="M20" s="4">
        <v>2.1417132304286699E-6</v>
      </c>
      <c r="N20" s="4">
        <v>0</v>
      </c>
      <c r="O20" s="4">
        <v>1.1767274314279699E-6</v>
      </c>
      <c r="P20" s="4">
        <v>3.57797238557331E-6</v>
      </c>
      <c r="Q20" s="4">
        <v>0</v>
      </c>
      <c r="R20" s="4">
        <v>3.3561065966825802E-8</v>
      </c>
      <c r="S20" s="4">
        <v>3.9941731550574798E-7</v>
      </c>
      <c r="T20" s="4">
        <v>0</v>
      </c>
      <c r="U20" s="4"/>
    </row>
    <row r="21" spans="1:21" x14ac:dyDescent="0.35">
      <c r="D21" t="s">
        <v>36</v>
      </c>
      <c r="E21" s="4">
        <v>2.3133893336961701E-2</v>
      </c>
      <c r="F21" s="4">
        <v>9.4764509995919695E-4</v>
      </c>
      <c r="G21" s="4">
        <v>1.05502555550403E-4</v>
      </c>
      <c r="H21" s="17">
        <v>1.6742017414941301E-2</v>
      </c>
      <c r="I21" s="17">
        <v>3.178333778902E-3</v>
      </c>
      <c r="J21" s="4">
        <v>4.1204529814643797E-4</v>
      </c>
      <c r="K21" s="4">
        <v>4.2189646264455499E-4</v>
      </c>
      <c r="L21" s="4">
        <v>8.7823193290244295E-4</v>
      </c>
      <c r="M21" s="4">
        <v>4.2476652748426799E-4</v>
      </c>
      <c r="N21" s="4">
        <v>0</v>
      </c>
      <c r="O21" s="4">
        <v>2.0089333254290599E-6</v>
      </c>
      <c r="P21" s="4">
        <v>1.8285374637961599E-6</v>
      </c>
      <c r="Q21" s="4">
        <v>0</v>
      </c>
      <c r="R21" s="4">
        <v>1.637790036489E-6</v>
      </c>
      <c r="S21" s="4">
        <v>1.7979005605315899E-5</v>
      </c>
      <c r="T21" s="4">
        <v>0</v>
      </c>
      <c r="U21" s="4"/>
    </row>
    <row r="22" spans="1:21" x14ac:dyDescent="0.35">
      <c r="O22" s="4"/>
      <c r="P22" s="4"/>
      <c r="R22" s="4"/>
      <c r="S22" s="4"/>
    </row>
    <row r="23" spans="1:21" x14ac:dyDescent="0.35">
      <c r="O23" s="4"/>
      <c r="P23" s="4"/>
      <c r="R23" s="4"/>
      <c r="S23" s="4"/>
    </row>
    <row r="24" spans="1:21" x14ac:dyDescent="0.35">
      <c r="O24" s="4"/>
      <c r="P24" s="4"/>
      <c r="R24" s="4"/>
      <c r="S24" s="4"/>
    </row>
    <row r="25" spans="1:21" ht="15" thickBot="1" x14ac:dyDescent="0.4">
      <c r="A25" s="136" t="s">
        <v>82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21" s="11" customFormat="1" ht="29.5" thickBot="1" x14ac:dyDescent="0.4">
      <c r="A26" s="137"/>
      <c r="B26" s="12" t="s">
        <v>41</v>
      </c>
      <c r="C26" s="13" t="s">
        <v>42</v>
      </c>
      <c r="D26" s="13" t="s">
        <v>43</v>
      </c>
      <c r="E26" s="13" t="s">
        <v>44</v>
      </c>
      <c r="F26" s="13" t="s">
        <v>45</v>
      </c>
      <c r="G26" s="13" t="s">
        <v>46</v>
      </c>
      <c r="H26" s="14" t="s">
        <v>47</v>
      </c>
      <c r="I26" s="14" t="s">
        <v>48</v>
      </c>
      <c r="J26" s="15" t="s">
        <v>49</v>
      </c>
      <c r="K26" s="42"/>
      <c r="L26" s="11" t="s">
        <v>38</v>
      </c>
      <c r="M26" s="11" t="s">
        <v>39</v>
      </c>
      <c r="N26" s="11" t="s">
        <v>40</v>
      </c>
      <c r="O26" s="11" t="s">
        <v>37</v>
      </c>
      <c r="P26" s="16" t="s">
        <v>50</v>
      </c>
    </row>
    <row r="27" spans="1:21" x14ac:dyDescent="0.35">
      <c r="A27" s="135" t="s">
        <v>388</v>
      </c>
      <c r="B27">
        <v>0</v>
      </c>
      <c r="C27">
        <v>0</v>
      </c>
      <c r="D27" s="4">
        <f>O4</f>
        <v>0.120583261320547</v>
      </c>
      <c r="E27" s="4">
        <f>P4</f>
        <v>0.12051458550989499</v>
      </c>
      <c r="F27" s="4">
        <f>H4</f>
        <v>0.11603806189232101</v>
      </c>
      <c r="G27" s="4">
        <f>J4</f>
        <v>8.0370057595308998E-3</v>
      </c>
      <c r="H27" s="4">
        <f>F4</f>
        <v>1.34459611556447E-2</v>
      </c>
      <c r="I27" s="4">
        <f>G4</f>
        <v>1.42280507187678E-3</v>
      </c>
      <c r="J27" s="4">
        <v>0</v>
      </c>
      <c r="K27" s="4"/>
      <c r="L27" s="4">
        <f>SUM(I4,S4)</f>
        <v>3.1907467088018913E-2</v>
      </c>
      <c r="M27" s="4">
        <f>R4+N4</f>
        <v>4.3237250097678798E-4</v>
      </c>
      <c r="N27" s="4">
        <f>SUM(K4:M4)</f>
        <v>6.8334396612378702E-3</v>
      </c>
      <c r="O27" s="4">
        <f>SUM(B27:J27)</f>
        <v>0.38004168070981542</v>
      </c>
      <c r="P27" s="4">
        <f>SUM(L27:O27)</f>
        <v>0.41921495996004898</v>
      </c>
    </row>
    <row r="28" spans="1:21" x14ac:dyDescent="0.35">
      <c r="A28" s="135" t="s">
        <v>389</v>
      </c>
      <c r="B28">
        <v>0</v>
      </c>
      <c r="C28">
        <v>0</v>
      </c>
      <c r="D28" s="4">
        <f>O5</f>
        <v>7.3672195119799999E-2</v>
      </c>
      <c r="E28" s="4">
        <f>P5</f>
        <v>0.35507915458751999</v>
      </c>
      <c r="F28" s="4">
        <f>H5</f>
        <v>4.5000930986319201</v>
      </c>
      <c r="G28" s="4">
        <f>J5</f>
        <v>0.17534845288298001</v>
      </c>
      <c r="H28" s="4">
        <f>F5</f>
        <v>0.36308369934069801</v>
      </c>
      <c r="I28" s="4">
        <f>G5</f>
        <v>3.7095423405376297E-2</v>
      </c>
      <c r="J28" s="4">
        <v>0</v>
      </c>
      <c r="K28" s="4"/>
      <c r="L28" s="4">
        <f>SUM(I5,S5)</f>
        <v>1.166019313164552</v>
      </c>
      <c r="M28" s="4">
        <f>R5</f>
        <v>1.2924929863655701E-3</v>
      </c>
      <c r="N28" s="4">
        <f>SUM(K5:M5)</f>
        <v>0.24479032801250139</v>
      </c>
      <c r="O28" s="4">
        <f>SUM(B28:J28)</f>
        <v>5.5043720239682941</v>
      </c>
      <c r="P28" s="4">
        <f t="shared" ref="P28:P32" si="0">SUM(L28:O28)</f>
        <v>6.9164741581317131</v>
      </c>
    </row>
    <row r="29" spans="1:21" x14ac:dyDescent="0.35">
      <c r="A29" s="135" t="s">
        <v>390</v>
      </c>
      <c r="B29">
        <v>0</v>
      </c>
      <c r="C29">
        <v>0</v>
      </c>
      <c r="D29" s="4">
        <f>SUM(O7:O11)</f>
        <v>2.7673643047599998E-3</v>
      </c>
      <c r="E29" s="4">
        <f>SUM(P7:P11)</f>
        <v>3.6092886706532998E-3</v>
      </c>
      <c r="F29" s="4">
        <f>SUM(H7:H11)</f>
        <v>7.8445128756347189E-3</v>
      </c>
      <c r="G29" s="4">
        <f>SUM(J7:J11)</f>
        <v>2.8717429148263264E-4</v>
      </c>
      <c r="H29" s="4">
        <f>SUM(F7:F11)</f>
        <v>6.8723649904975359E-4</v>
      </c>
      <c r="I29" s="4">
        <f>SUM(G7:G11)</f>
        <v>8.421001028852556E-5</v>
      </c>
      <c r="J29" s="4">
        <v>0</v>
      </c>
      <c r="K29" s="4"/>
      <c r="L29" s="4">
        <f>SUM(SUM(I7:I11),SUM(S7:S11),SUM(Q7:Q11))</f>
        <v>2.0145089489077791E-3</v>
      </c>
      <c r="M29" s="4">
        <f>SUM(SUM(R7:R11),SUM(N7:N11))</f>
        <v>3.0140285883180738E-5</v>
      </c>
      <c r="N29" s="4">
        <f>SUM(SUM(K7:K11),SUM(L7:L11),SUM(M7:M11))</f>
        <v>1.085433632899704E-3</v>
      </c>
      <c r="O29" s="4">
        <f>SUM(B29:J29)</f>
        <v>1.5279786651868929E-2</v>
      </c>
      <c r="P29" s="4">
        <f t="shared" si="0"/>
        <v>1.8409869519559592E-2</v>
      </c>
    </row>
    <row r="30" spans="1:21" x14ac:dyDescent="0.35">
      <c r="A30" s="135" t="s">
        <v>391</v>
      </c>
      <c r="B30">
        <v>0</v>
      </c>
      <c r="C30">
        <v>0</v>
      </c>
      <c r="D30" s="4">
        <f>SUM(O13:O18)</f>
        <v>4.7345554430379703E-9</v>
      </c>
      <c r="E30" s="4">
        <f>SUM(P13:P18)</f>
        <v>1.964802999975E-4</v>
      </c>
      <c r="F30" s="4">
        <f>SUM(H13:H18)</f>
        <v>1.6435604659555442E-4</v>
      </c>
      <c r="G30" s="4">
        <f>SUM(J13:J18)</f>
        <v>1.12829592258025E-15</v>
      </c>
      <c r="H30" s="4">
        <f>SUM(F13:F18)</f>
        <v>2.3717353639684849E-3</v>
      </c>
      <c r="I30" s="4">
        <f>SUM(G13:G18)</f>
        <v>2.2568843428883884E-4</v>
      </c>
      <c r="J30" s="4">
        <v>0</v>
      </c>
      <c r="K30" s="4"/>
      <c r="L30" s="4">
        <f>SUM(SUM(I13:I18),SUM(S13:S18))</f>
        <v>1.6473136646345476E-16</v>
      </c>
      <c r="M30" s="4">
        <f>SUM(R13:R18)</f>
        <v>4.90975707372198E-19</v>
      </c>
      <c r="N30" s="4">
        <f>SUM(SUM(K13:K18),SUM(L13:L18),SUM(M13:M18))</f>
        <v>9.3250771246608791E-16</v>
      </c>
      <c r="O30" s="4">
        <f>SUM(B30:J30)</f>
        <v>2.9582648794069496E-3</v>
      </c>
      <c r="P30" s="4">
        <f t="shared" si="0"/>
        <v>2.9582648794080472E-3</v>
      </c>
    </row>
    <row r="31" spans="1:21" x14ac:dyDescent="0.35">
      <c r="A31" s="135" t="s">
        <v>392</v>
      </c>
      <c r="B31">
        <v>0</v>
      </c>
      <c r="C31">
        <v>0</v>
      </c>
      <c r="D31" s="4">
        <f>SUM(O20:O21)</f>
        <v>3.1856607568570298E-6</v>
      </c>
      <c r="E31" s="4">
        <f>SUM(P20:P21)</f>
        <v>5.4065098493694701E-6</v>
      </c>
      <c r="F31" s="4">
        <f>SUM(H20:H21)</f>
        <v>1.6753807602361434E-2</v>
      </c>
      <c r="G31" s="4">
        <f>SUM(J20:J21)</f>
        <v>4.1222240044872286E-4</v>
      </c>
      <c r="H31" s="4">
        <f>SUM(F20:F21)</f>
        <v>9.4887716224941864E-4</v>
      </c>
      <c r="I31" s="4">
        <f>SUM(G20:G21)</f>
        <v>1.0569023509222093E-4</v>
      </c>
      <c r="J31" s="4">
        <v>0</v>
      </c>
      <c r="K31" s="4"/>
      <c r="L31" s="4">
        <f>SUM(SUM(I20:I21),SUM(S20:S21))</f>
        <v>3.1984250337602233E-3</v>
      </c>
      <c r="M31" s="4">
        <f>SUM(R20:R21)</f>
        <v>1.6713511024558258E-6</v>
      </c>
      <c r="N31" s="4">
        <f>SUM(SUM(K20:K21),SUM(L20:M21))</f>
        <v>1.7335920141424376E-3</v>
      </c>
      <c r="O31" s="4">
        <f>SUM(B31:J31)</f>
        <v>1.8229189570758024E-2</v>
      </c>
      <c r="P31" s="4">
        <f t="shared" si="0"/>
        <v>2.316287796976314E-2</v>
      </c>
    </row>
    <row r="32" spans="1:21" x14ac:dyDescent="0.35">
      <c r="A32" s="135" t="s">
        <v>393</v>
      </c>
      <c r="D32" s="4">
        <v>7.07599500626136E-5</v>
      </c>
      <c r="E32" s="4">
        <v>7.5720237336443006E-5</v>
      </c>
      <c r="F32" s="4">
        <v>1.8641230761134098E-2</v>
      </c>
      <c r="G32" s="4">
        <v>3.8315943660732201E-4</v>
      </c>
      <c r="H32" s="4">
        <v>1.8962893028019899E-4</v>
      </c>
      <c r="I32" s="4">
        <v>6.6200991281857103E-3</v>
      </c>
      <c r="J32" s="4">
        <v>0</v>
      </c>
      <c r="L32" s="4">
        <v>2.8999999999999998E-3</v>
      </c>
      <c r="M32" s="4">
        <v>3.8480000000000003E-6</v>
      </c>
      <c r="N32" s="4">
        <v>5.7600000000000004E-3</v>
      </c>
      <c r="O32" s="4">
        <f>SUM(B32:J32)</f>
        <v>2.5980598443606381E-2</v>
      </c>
      <c r="P32" s="4">
        <f t="shared" si="0"/>
        <v>3.4644446443606383E-2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"/>
  <sheetViews>
    <sheetView workbookViewId="0">
      <selection activeCell="A2" sqref="A2:A9"/>
    </sheetView>
  </sheetViews>
  <sheetFormatPr defaultRowHeight="14.5" x14ac:dyDescent="0.35"/>
  <cols>
    <col min="1" max="1" width="41.453125" customWidth="1"/>
  </cols>
  <sheetData>
    <row r="1" spans="1:55" s="21" customFormat="1" ht="145" x14ac:dyDescent="0.35">
      <c r="A1" s="63" t="s">
        <v>113</v>
      </c>
      <c r="B1" s="54" t="s">
        <v>96</v>
      </c>
      <c r="C1" s="46" t="s">
        <v>50</v>
      </c>
      <c r="D1" s="47" t="s">
        <v>8</v>
      </c>
      <c r="E1" s="47" t="s">
        <v>48</v>
      </c>
      <c r="F1" s="47" t="s">
        <v>9</v>
      </c>
      <c r="G1" s="47" t="s">
        <v>10</v>
      </c>
      <c r="H1" s="47" t="s">
        <v>58</v>
      </c>
      <c r="I1" s="47" t="s">
        <v>15</v>
      </c>
      <c r="J1" s="48" t="s">
        <v>57</v>
      </c>
      <c r="K1" s="48" t="s">
        <v>18</v>
      </c>
      <c r="L1" s="48" t="s">
        <v>16</v>
      </c>
      <c r="M1" s="49" t="s">
        <v>19</v>
      </c>
      <c r="N1" s="49" t="s">
        <v>17</v>
      </c>
      <c r="O1" s="49" t="s">
        <v>14</v>
      </c>
      <c r="P1" s="50" t="s">
        <v>11</v>
      </c>
      <c r="Q1" s="50" t="s">
        <v>12</v>
      </c>
      <c r="R1" s="50" t="s">
        <v>13</v>
      </c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s="2" customFormat="1" x14ac:dyDescent="0.35">
      <c r="A2" s="3" t="s">
        <v>97</v>
      </c>
      <c r="B2" s="51" t="s">
        <v>98</v>
      </c>
      <c r="C2" s="18">
        <v>2.1648320129680002E-2</v>
      </c>
      <c r="D2" s="18">
        <v>8.6054448802585105E-4</v>
      </c>
      <c r="E2" s="18">
        <v>9.7222549564703097E-5</v>
      </c>
      <c r="F2" s="18">
        <v>7.9857545993079794E-3</v>
      </c>
      <c r="G2" s="18">
        <v>3.0065173170072402E-4</v>
      </c>
      <c r="H2" s="18">
        <v>3.4360184091724402E-3</v>
      </c>
      <c r="I2" s="18">
        <v>4.2051881842030603E-3</v>
      </c>
      <c r="J2" s="18">
        <v>1.9242446577108E-3</v>
      </c>
      <c r="K2" s="18">
        <v>1.2330883315133501E-4</v>
      </c>
      <c r="L2" s="18">
        <v>9.5309500000000001E-10</v>
      </c>
      <c r="M2" s="18">
        <v>0</v>
      </c>
      <c r="N2" s="18">
        <v>5.0434684823746197E-6</v>
      </c>
      <c r="O2" s="18">
        <v>2.45909728286704E-5</v>
      </c>
      <c r="P2" s="18">
        <v>1.1701219782267601E-3</v>
      </c>
      <c r="Q2" s="18">
        <v>2.1903913786065499E-4</v>
      </c>
      <c r="R2" s="18">
        <v>1.2965901663495999E-3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s="8" customFormat="1" x14ac:dyDescent="0.35">
      <c r="A3" s="7" t="s">
        <v>99</v>
      </c>
      <c r="B3" s="52" t="s">
        <v>98</v>
      </c>
      <c r="C3" s="8">
        <v>1.9233122107452701E-2</v>
      </c>
      <c r="D3" s="8">
        <v>-1.9539604248911199E-3</v>
      </c>
      <c r="E3" s="8">
        <v>-1.73796801256643E-4</v>
      </c>
      <c r="F3" s="8">
        <v>7.7851378536572396E-3</v>
      </c>
      <c r="G3" s="8">
        <v>3.0177071025428001E-4</v>
      </c>
      <c r="H3" s="8">
        <v>3.4360184091724402E-3</v>
      </c>
      <c r="I3" s="8">
        <v>4.2051881842030603E-3</v>
      </c>
      <c r="J3" s="8">
        <v>1.92366408745394E-3</v>
      </c>
      <c r="K3" s="8">
        <v>1.23293843141758E-4</v>
      </c>
      <c r="L3" s="8">
        <v>9.5309500000000001E-10</v>
      </c>
      <c r="M3" s="8">
        <v>0</v>
      </c>
      <c r="N3" s="8">
        <v>4.5158621532369004E-6</v>
      </c>
      <c r="O3" s="8">
        <v>2.58825567131752E-5</v>
      </c>
      <c r="P3" s="8">
        <v>1.64081713783417E-3</v>
      </c>
      <c r="Q3" s="8">
        <v>2.1870224062207601E-4</v>
      </c>
      <c r="R3" s="8">
        <v>1.6958874953001001E-3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s="2" customFormat="1" x14ac:dyDescent="0.35">
      <c r="A4" s="3" t="s">
        <v>100</v>
      </c>
      <c r="B4" s="64" t="s">
        <v>101</v>
      </c>
      <c r="C4" s="18">
        <v>5.0223934690783397E-10</v>
      </c>
      <c r="D4" s="18">
        <v>5.9152353978262804E-11</v>
      </c>
      <c r="E4" s="18">
        <v>8.2718594934877993E-12</v>
      </c>
      <c r="F4" s="18">
        <v>3.2511731516277001E-10</v>
      </c>
      <c r="G4" s="18">
        <v>2.00037984508909E-12</v>
      </c>
      <c r="H4" s="18">
        <v>4.3837403403921402E-14</v>
      </c>
      <c r="I4" s="18">
        <v>1.4773234787683299E-13</v>
      </c>
      <c r="J4" s="18">
        <v>7.9764145741924399E-11</v>
      </c>
      <c r="K4" s="18">
        <v>2.3099875371347399E-11</v>
      </c>
      <c r="L4" s="18">
        <v>0</v>
      </c>
      <c r="M4" s="18">
        <v>0</v>
      </c>
      <c r="N4" s="18">
        <v>4.5123152964246199E-13</v>
      </c>
      <c r="O4" s="18">
        <v>6.4352489700427801E-18</v>
      </c>
      <c r="P4" s="18">
        <v>6.6258902539074898E-13</v>
      </c>
      <c r="Q4" s="18">
        <v>2.4432046485320898E-12</v>
      </c>
      <c r="R4" s="18">
        <v>1.0848159248576299E-12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s="6" customFormat="1" x14ac:dyDescent="0.35">
      <c r="A5" s="7" t="s">
        <v>102</v>
      </c>
      <c r="B5" s="52" t="s">
        <v>101</v>
      </c>
      <c r="C5" s="8">
        <v>2.88041085680389E-9</v>
      </c>
      <c r="D5" s="8">
        <v>2.3768979862476701E-11</v>
      </c>
      <c r="E5" s="8">
        <v>2.6338226550687201E-12</v>
      </c>
      <c r="F5" s="8">
        <v>2.6716820006053199E-9</v>
      </c>
      <c r="G5" s="8">
        <v>8.4083914777416994E-12</v>
      </c>
      <c r="H5" s="8">
        <v>6.0845589257009102E-12</v>
      </c>
      <c r="I5" s="8">
        <v>3.6761982054359303E-12</v>
      </c>
      <c r="J5" s="8">
        <v>2.9567695805992402E-11</v>
      </c>
      <c r="K5" s="8">
        <v>5.4854002149932199E-13</v>
      </c>
      <c r="L5" s="8">
        <v>0</v>
      </c>
      <c r="M5" s="8">
        <v>0</v>
      </c>
      <c r="N5" s="8">
        <v>1.06996520869004E-12</v>
      </c>
      <c r="O5" s="8">
        <v>1.62951789202706E-18</v>
      </c>
      <c r="P5" s="8">
        <v>3.2398881190039601E-11</v>
      </c>
      <c r="Q5" s="8">
        <v>6.7911484000689395E-11</v>
      </c>
      <c r="R5" s="8">
        <v>3.2660337215710797E-11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s="2" customFormat="1" x14ac:dyDescent="0.35">
      <c r="A6" s="3" t="s">
        <v>103</v>
      </c>
      <c r="B6" s="64" t="s">
        <v>104</v>
      </c>
      <c r="C6" s="18">
        <v>9.0786636720564702E-3</v>
      </c>
      <c r="D6" s="18">
        <v>1.3365039404752701E-3</v>
      </c>
      <c r="E6" s="18">
        <v>1.06557936330123E-4</v>
      </c>
      <c r="F6" s="18">
        <v>6.3522344464373897E-3</v>
      </c>
      <c r="G6" s="18">
        <v>4.6049890541748701E-5</v>
      </c>
      <c r="H6" s="18">
        <v>6.7233943467959599E-5</v>
      </c>
      <c r="I6" s="18">
        <v>8.5556279323199701E-6</v>
      </c>
      <c r="J6" s="18">
        <v>8.4602803140683305E-4</v>
      </c>
      <c r="K6" s="18">
        <v>2.3345230447499699E-4</v>
      </c>
      <c r="L6" s="18">
        <v>0</v>
      </c>
      <c r="M6" s="18">
        <v>0</v>
      </c>
      <c r="N6" s="18">
        <v>8.0616760265089994E-6</v>
      </c>
      <c r="O6" s="18">
        <v>1.3865702577373901E-12</v>
      </c>
      <c r="P6" s="18">
        <v>1.0389345580530201E-5</v>
      </c>
      <c r="Q6" s="18">
        <v>4.7775672088155402E-5</v>
      </c>
      <c r="R6" s="18">
        <v>1.58208559080651E-5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s="6" customFormat="1" x14ac:dyDescent="0.35">
      <c r="A7" s="7" t="s">
        <v>105</v>
      </c>
      <c r="B7" s="52" t="s">
        <v>106</v>
      </c>
      <c r="C7" s="8">
        <v>1.0875038937970901E-4</v>
      </c>
      <c r="D7" s="8">
        <v>3.42720616287266E-6</v>
      </c>
      <c r="E7" s="8">
        <v>4.0816555128538498E-7</v>
      </c>
      <c r="F7" s="8">
        <v>5.5688090861383697E-5</v>
      </c>
      <c r="G7" s="8">
        <v>5.7617344808394596E-7</v>
      </c>
      <c r="H7" s="8">
        <v>1.5401671036084599E-5</v>
      </c>
      <c r="I7" s="8">
        <v>2.4409537913641601E-5</v>
      </c>
      <c r="J7" s="8">
        <v>6.6069356490303596E-6</v>
      </c>
      <c r="K7" s="8">
        <v>8.7758188750119796E-8</v>
      </c>
      <c r="L7" s="8">
        <v>9.61559636648096E-8</v>
      </c>
      <c r="M7" s="8">
        <v>0</v>
      </c>
      <c r="N7" s="8">
        <v>2.89502591091106E-8</v>
      </c>
      <c r="O7" s="8">
        <v>1.4932001381482199E-7</v>
      </c>
      <c r="P7" s="8">
        <v>5.6597598733502503E-7</v>
      </c>
      <c r="Q7" s="8">
        <v>7.2844554039484399E-7</v>
      </c>
      <c r="R7" s="8">
        <v>5.7600280425853296E-7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s="2" customFormat="1" x14ac:dyDescent="0.35">
      <c r="A8" s="3" t="s">
        <v>107</v>
      </c>
      <c r="B8" s="64" t="s">
        <v>108</v>
      </c>
      <c r="C8" s="18">
        <v>4.9796751629213705E-7</v>
      </c>
      <c r="D8" s="18">
        <v>3.3424917742748302E-8</v>
      </c>
      <c r="E8" s="18">
        <v>1.26828727357553E-9</v>
      </c>
      <c r="F8" s="18">
        <v>1.15009298732996E-8</v>
      </c>
      <c r="G8" s="18">
        <v>1.51047423019977E-9</v>
      </c>
      <c r="H8" s="18">
        <v>8.4914279999999999E-10</v>
      </c>
      <c r="I8" s="18">
        <v>1.2968547491000001E-7</v>
      </c>
      <c r="J8" s="18">
        <v>8.3533818304710703E-10</v>
      </c>
      <c r="K8" s="18">
        <v>1.2461463314593E-11</v>
      </c>
      <c r="L8" s="18">
        <v>5.6064400000000003E-9</v>
      </c>
      <c r="M8" s="18">
        <v>0</v>
      </c>
      <c r="N8" s="18">
        <v>2.1646632446994599E-10</v>
      </c>
      <c r="O8" s="18">
        <v>0</v>
      </c>
      <c r="P8" s="18">
        <v>5.0938121656052103E-8</v>
      </c>
      <c r="Q8" s="18">
        <v>1.75315721265886E-7</v>
      </c>
      <c r="R8" s="18">
        <v>8.6803740569543998E-8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66" customFormat="1" x14ac:dyDescent="0.35">
      <c r="A9" s="65" t="s">
        <v>109</v>
      </c>
      <c r="B9" s="62" t="s">
        <v>110</v>
      </c>
      <c r="C9" s="34">
        <v>7.6829532345579599E-8</v>
      </c>
      <c r="D9" s="34">
        <v>1.64563955180535E-9</v>
      </c>
      <c r="E9" s="34">
        <v>8.0326094681624197E-10</v>
      </c>
      <c r="F9" s="34">
        <v>6.0167802672200102E-8</v>
      </c>
      <c r="G9" s="34">
        <v>2.40513726268521E-10</v>
      </c>
      <c r="H9" s="34">
        <v>5.8117511192598503E-9</v>
      </c>
      <c r="I9" s="34">
        <v>4.5235328173158396E-9</v>
      </c>
      <c r="J9" s="34">
        <v>3.2158542835336501E-9</v>
      </c>
      <c r="K9" s="34">
        <v>1.82261022549896E-10</v>
      </c>
      <c r="L9" s="34">
        <v>0</v>
      </c>
      <c r="M9" s="34">
        <v>0</v>
      </c>
      <c r="N9" s="34">
        <v>1.8622395346118201E-11</v>
      </c>
      <c r="O9" s="34">
        <v>0</v>
      </c>
      <c r="P9" s="34">
        <v>5.3882330714290001E-11</v>
      </c>
      <c r="Q9" s="34">
        <v>1.1216259400327699E-10</v>
      </c>
      <c r="R9" s="34">
        <v>5.4248885766436303E-11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10" customFormat="1" x14ac:dyDescent="0.35">
      <c r="A10" s="65"/>
      <c r="B10" s="62"/>
      <c r="C10" s="34"/>
      <c r="D10" s="34"/>
      <c r="E10" s="34"/>
      <c r="F10" s="34"/>
      <c r="G10" s="34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x14ac:dyDescent="0.35">
      <c r="A11" s="35"/>
      <c r="B11" s="67"/>
      <c r="C11" s="35"/>
      <c r="D11" s="35"/>
      <c r="E11" s="35"/>
      <c r="F11" s="35"/>
      <c r="G11" s="35"/>
      <c r="J11" t="s">
        <v>111</v>
      </c>
    </row>
    <row r="12" spans="1:55" ht="72.5" x14ac:dyDescent="0.35">
      <c r="A12" s="61" t="s">
        <v>112</v>
      </c>
      <c r="B12" s="56"/>
      <c r="C12" s="57" t="s">
        <v>37</v>
      </c>
      <c r="D12" s="58" t="s">
        <v>66</v>
      </c>
      <c r="E12" s="59" t="s">
        <v>69</v>
      </c>
      <c r="F12" s="60" t="s">
        <v>40</v>
      </c>
      <c r="G12" s="61" t="s">
        <v>50</v>
      </c>
      <c r="I12" s="11" t="s">
        <v>93</v>
      </c>
      <c r="J12" s="57" t="s">
        <v>37</v>
      </c>
      <c r="K12" s="58" t="s">
        <v>66</v>
      </c>
      <c r="L12" s="59" t="s">
        <v>69</v>
      </c>
      <c r="M12" s="60" t="s">
        <v>40</v>
      </c>
      <c r="N12" s="61" t="s">
        <v>50</v>
      </c>
    </row>
    <row r="13" spans="1:55" x14ac:dyDescent="0.35">
      <c r="A13" t="s">
        <v>92</v>
      </c>
      <c r="B13" s="44" t="s">
        <v>98</v>
      </c>
      <c r="C13" s="68">
        <f t="shared" ref="C13:C20" si="0">SUM(D2:I2)*240</f>
        <v>4.0524911908739414</v>
      </c>
      <c r="D13" s="4">
        <f t="shared" ref="D13:D20" si="1">SUM(J2:L2)*240</f>
        <v>0.4914130665497124</v>
      </c>
      <c r="E13" s="4">
        <f t="shared" ref="E13:E20" si="2">SUM(M2:O2)*240</f>
        <v>7.1122659146508052E-3</v>
      </c>
      <c r="F13" s="4">
        <f t="shared" ref="F13:F20" si="3">SUM(P2:R2)*240</f>
        <v>0.64458030778488351</v>
      </c>
      <c r="G13" s="4">
        <f t="shared" ref="G13:G20" si="4">SUM(C13:F13)</f>
        <v>5.1955968311231873</v>
      </c>
      <c r="I13" s="44">
        <v>9220</v>
      </c>
      <c r="J13" s="4">
        <f>C13/$I13</f>
        <v>4.3953266712298713E-4</v>
      </c>
      <c r="K13" s="4">
        <f t="shared" ref="K13:N20" si="5">D13/$I13</f>
        <v>5.3298597239665116E-5</v>
      </c>
      <c r="L13" s="4">
        <f t="shared" si="5"/>
        <v>7.713954354285038E-7</v>
      </c>
      <c r="M13" s="4">
        <f t="shared" si="5"/>
        <v>6.9911096289032915E-5</v>
      </c>
      <c r="N13" s="4">
        <f t="shared" si="5"/>
        <v>5.6351375608711357E-4</v>
      </c>
    </row>
    <row r="14" spans="1:55" x14ac:dyDescent="0.35">
      <c r="A14" t="s">
        <v>91</v>
      </c>
      <c r="B14" s="52" t="s">
        <v>98</v>
      </c>
      <c r="C14" s="68">
        <f t="shared" si="0"/>
        <v>3.2640859034734215</v>
      </c>
      <c r="D14" s="4">
        <f t="shared" si="1"/>
        <v>0.49127013208576753</v>
      </c>
      <c r="E14" s="4">
        <f t="shared" si="2"/>
        <v>7.2956205279389045E-3</v>
      </c>
      <c r="F14" s="4">
        <f t="shared" si="3"/>
        <v>0.853297649701523</v>
      </c>
      <c r="G14" s="4">
        <f t="shared" si="4"/>
        <v>4.6159493057886509</v>
      </c>
      <c r="I14" s="4">
        <f>I13</f>
        <v>9220</v>
      </c>
      <c r="J14" s="4">
        <f>C14/$I14</f>
        <v>3.5402233226392856E-4</v>
      </c>
      <c r="K14" s="4">
        <f t="shared" si="5"/>
        <v>5.3283094586308842E-5</v>
      </c>
      <c r="L14" s="4">
        <f t="shared" si="5"/>
        <v>7.9128205292179002E-7</v>
      </c>
      <c r="M14" s="4">
        <f t="shared" si="5"/>
        <v>9.2548552028364747E-5</v>
      </c>
      <c r="N14" s="4">
        <f t="shared" si="5"/>
        <v>5.0064526093152398E-4</v>
      </c>
    </row>
    <row r="15" spans="1:55" x14ac:dyDescent="0.35">
      <c r="A15" t="s">
        <v>90</v>
      </c>
      <c r="B15" s="52" t="s">
        <v>101</v>
      </c>
      <c r="C15" s="68">
        <f t="shared" si="0"/>
        <v>9.4736034775413717E-8</v>
      </c>
      <c r="D15" s="4">
        <f t="shared" si="1"/>
        <v>2.4687365067185232E-8</v>
      </c>
      <c r="E15" s="4">
        <f t="shared" si="2"/>
        <v>1.082971115739437E-10</v>
      </c>
      <c r="F15" s="4">
        <f t="shared" si="3"/>
        <v>1.0057463037073125E-9</v>
      </c>
      <c r="G15" s="4">
        <f t="shared" si="4"/>
        <v>1.2053744325788022E-7</v>
      </c>
      <c r="I15" s="4">
        <v>3.6900000000000002E-5</v>
      </c>
      <c r="J15" s="4">
        <f t="shared" ref="J15:J20" si="6">C15/$I15</f>
        <v>2.5673722161358727E-3</v>
      </c>
      <c r="K15" s="4">
        <f t="shared" si="5"/>
        <v>6.6903428366355639E-4</v>
      </c>
      <c r="L15" s="4">
        <f t="shared" si="5"/>
        <v>2.9348810724645988E-6</v>
      </c>
      <c r="M15" s="4">
        <f t="shared" si="5"/>
        <v>2.725599739044207E-5</v>
      </c>
      <c r="N15" s="4">
        <f t="shared" si="5"/>
        <v>3.2665973782623364E-3</v>
      </c>
    </row>
    <row r="16" spans="1:55" x14ac:dyDescent="0.35">
      <c r="A16" t="s">
        <v>89</v>
      </c>
      <c r="B16" s="52" t="s">
        <v>101</v>
      </c>
      <c r="C16" s="68">
        <f t="shared" si="0"/>
        <v>6.5190094841561853E-7</v>
      </c>
      <c r="D16" s="4">
        <f t="shared" si="1"/>
        <v>7.2278965985980136E-9</v>
      </c>
      <c r="E16" s="4">
        <f t="shared" si="2"/>
        <v>2.5679204116990371E-10</v>
      </c>
      <c r="F16" s="4">
        <f t="shared" si="3"/>
        <v>3.191296857754555E-8</v>
      </c>
      <c r="G16" s="4">
        <f t="shared" si="4"/>
        <v>6.9129860563293211E-7</v>
      </c>
      <c r="I16" s="4">
        <v>5.3300000000000005E-4</v>
      </c>
      <c r="J16" s="4">
        <f t="shared" si="6"/>
        <v>1.2230787024683273E-3</v>
      </c>
      <c r="K16" s="4">
        <f t="shared" si="5"/>
        <v>1.3560781610878073E-5</v>
      </c>
      <c r="L16" s="4">
        <f t="shared" si="5"/>
        <v>4.8178619356454723E-7</v>
      </c>
      <c r="M16" s="4">
        <f t="shared" si="5"/>
        <v>5.9874237481323726E-5</v>
      </c>
      <c r="N16" s="4">
        <f t="shared" si="5"/>
        <v>1.296995507754094E-3</v>
      </c>
    </row>
    <row r="17" spans="1:14" x14ac:dyDescent="0.35">
      <c r="A17" t="s">
        <v>88</v>
      </c>
      <c r="B17" s="52" t="s">
        <v>104</v>
      </c>
      <c r="C17" s="68">
        <f t="shared" si="0"/>
        <v>1.9001125884443544</v>
      </c>
      <c r="D17" s="4">
        <f t="shared" si="1"/>
        <v>0.2590752806116392</v>
      </c>
      <c r="E17" s="4">
        <f t="shared" si="2"/>
        <v>1.9348025791390217E-3</v>
      </c>
      <c r="F17" s="4">
        <f t="shared" si="3"/>
        <v>1.7756609658420165E-2</v>
      </c>
      <c r="G17" s="4">
        <f t="shared" si="4"/>
        <v>2.1788792812935527</v>
      </c>
      <c r="I17" s="4">
        <v>8740</v>
      </c>
      <c r="J17" s="4">
        <f t="shared" si="6"/>
        <v>2.1740418632086434E-4</v>
      </c>
      <c r="K17" s="4">
        <f t="shared" si="5"/>
        <v>2.9642480619180686E-5</v>
      </c>
      <c r="L17" s="4">
        <f t="shared" si="5"/>
        <v>2.2137329280766839E-7</v>
      </c>
      <c r="M17" s="4">
        <f t="shared" si="5"/>
        <v>2.0316487023364034E-6</v>
      </c>
      <c r="N17" s="4">
        <f t="shared" si="5"/>
        <v>2.4929968893518909E-4</v>
      </c>
    </row>
    <row r="18" spans="1:14" x14ac:dyDescent="0.35">
      <c r="A18" t="s">
        <v>87</v>
      </c>
      <c r="B18" s="52" t="s">
        <v>106</v>
      </c>
      <c r="C18" s="68">
        <f t="shared" si="0"/>
        <v>2.3978602793604455E-2</v>
      </c>
      <c r="D18" s="4">
        <f t="shared" si="1"/>
        <v>1.6298039523468693E-3</v>
      </c>
      <c r="E18" s="4">
        <f t="shared" si="2"/>
        <v>4.2784865501743817E-5</v>
      </c>
      <c r="F18" s="4">
        <f t="shared" si="3"/>
        <v>4.4890183967721646E-4</v>
      </c>
      <c r="G18" s="4">
        <f t="shared" si="4"/>
        <v>2.6100093451130284E-2</v>
      </c>
      <c r="I18">
        <v>47.3</v>
      </c>
      <c r="J18" s="4">
        <f t="shared" si="6"/>
        <v>5.0694720493878339E-4</v>
      </c>
      <c r="K18" s="4">
        <f t="shared" si="5"/>
        <v>3.4456743178580752E-5</v>
      </c>
      <c r="L18" s="4">
        <f t="shared" si="5"/>
        <v>9.0454261103052471E-7</v>
      </c>
      <c r="M18" s="4">
        <f t="shared" si="5"/>
        <v>9.4905251517381921E-6</v>
      </c>
      <c r="N18" s="4">
        <f t="shared" si="5"/>
        <v>5.5179901588013288E-4</v>
      </c>
    </row>
    <row r="19" spans="1:14" x14ac:dyDescent="0.35">
      <c r="A19" t="s">
        <v>86</v>
      </c>
      <c r="B19" s="52" t="s">
        <v>108</v>
      </c>
      <c r="C19" s="68">
        <f t="shared" si="0"/>
        <v>4.2777414439157574E-5</v>
      </c>
      <c r="D19" s="4">
        <f t="shared" si="1"/>
        <v>1.5490175151268081E-6</v>
      </c>
      <c r="E19" s="4">
        <f t="shared" si="2"/>
        <v>5.1951917872787041E-8</v>
      </c>
      <c r="F19" s="4">
        <f t="shared" si="3"/>
        <v>7.5133820037955699E-5</v>
      </c>
      <c r="G19" s="4">
        <f t="shared" si="4"/>
        <v>1.1951220391011287E-4</v>
      </c>
      <c r="I19">
        <v>1.48</v>
      </c>
      <c r="J19" s="4">
        <f t="shared" si="6"/>
        <v>2.89036584048362E-5</v>
      </c>
      <c r="K19" s="4">
        <f t="shared" si="5"/>
        <v>1.0466334561667622E-6</v>
      </c>
      <c r="L19" s="4">
        <f t="shared" si="5"/>
        <v>3.5102647211342598E-8</v>
      </c>
      <c r="M19" s="4">
        <f t="shared" si="5"/>
        <v>5.0766094620240335E-5</v>
      </c>
      <c r="N19" s="4">
        <f t="shared" si="5"/>
        <v>8.0751489128454645E-5</v>
      </c>
    </row>
    <row r="20" spans="1:14" x14ac:dyDescent="0.35">
      <c r="A20" s="21" t="s">
        <v>85</v>
      </c>
      <c r="B20" s="62" t="s">
        <v>110</v>
      </c>
      <c r="C20" s="69">
        <f t="shared" si="0"/>
        <v>1.7566200200079822E-5</v>
      </c>
      <c r="D20" s="23">
        <f t="shared" si="1"/>
        <v>8.1554767346005112E-7</v>
      </c>
      <c r="E20" s="23">
        <f t="shared" si="2"/>
        <v>4.4693748830683678E-9</v>
      </c>
      <c r="F20" s="23">
        <f t="shared" si="3"/>
        <v>5.287051451616079E-8</v>
      </c>
      <c r="G20" s="23">
        <f t="shared" si="4"/>
        <v>1.8439087762939102E-5</v>
      </c>
      <c r="I20" s="4">
        <v>0.10100000000000001</v>
      </c>
      <c r="J20" s="4">
        <f t="shared" si="6"/>
        <v>1.7392277425821605E-4</v>
      </c>
      <c r="K20" s="4">
        <f t="shared" si="5"/>
        <v>8.0747294401985251E-6</v>
      </c>
      <c r="L20" s="4">
        <f t="shared" si="5"/>
        <v>4.4251236466023438E-8</v>
      </c>
      <c r="M20" s="4">
        <f t="shared" si="5"/>
        <v>5.2347044075406724E-7</v>
      </c>
      <c r="N20" s="4">
        <f>G20/$I20</f>
        <v>1.8256522537563467E-4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5"/>
  <sheetViews>
    <sheetView topLeftCell="B1" workbookViewId="0">
      <selection activeCell="G5" sqref="G5:H5"/>
    </sheetView>
  </sheetViews>
  <sheetFormatPr defaultRowHeight="14.5" x14ac:dyDescent="0.35"/>
  <cols>
    <col min="1" max="1" width="35.08984375" customWidth="1"/>
    <col min="2" max="2" width="68.26953125" customWidth="1"/>
    <col min="7" max="7" width="34.36328125" customWidth="1"/>
  </cols>
  <sheetData>
    <row r="1" spans="1:8" ht="21" x14ac:dyDescent="0.45">
      <c r="A1" s="146" t="s">
        <v>61</v>
      </c>
      <c r="G1" s="157" t="s">
        <v>61</v>
      </c>
    </row>
    <row r="2" spans="1:8" x14ac:dyDescent="0.35">
      <c r="A2" s="150" t="s">
        <v>201</v>
      </c>
      <c r="B2" s="150"/>
      <c r="C2" s="150"/>
      <c r="D2" s="150"/>
      <c r="G2" t="s">
        <v>199</v>
      </c>
    </row>
    <row r="3" spans="1:8" x14ac:dyDescent="0.35">
      <c r="A3" s="158" t="s">
        <v>203</v>
      </c>
      <c r="B3" s="158" t="s">
        <v>204</v>
      </c>
      <c r="C3" s="159"/>
      <c r="D3" s="108"/>
    </row>
    <row r="4" spans="1:8" x14ac:dyDescent="0.35">
      <c r="A4" s="160" t="s">
        <v>206</v>
      </c>
      <c r="B4" s="160"/>
      <c r="C4" s="160"/>
      <c r="D4" s="160"/>
      <c r="H4" s="5"/>
    </row>
    <row r="5" spans="1:8" x14ac:dyDescent="0.35">
      <c r="A5" s="107" t="s">
        <v>207</v>
      </c>
      <c r="B5" s="108" t="s">
        <v>396</v>
      </c>
      <c r="C5" s="108">
        <v>1.21E-2</v>
      </c>
      <c r="D5" s="108" t="s">
        <v>22</v>
      </c>
      <c r="G5" s="203" t="s">
        <v>153</v>
      </c>
      <c r="H5" s="203" t="s">
        <v>154</v>
      </c>
    </row>
    <row r="6" spans="1:8" x14ac:dyDescent="0.35">
      <c r="A6" s="107" t="s">
        <v>397</v>
      </c>
      <c r="B6" s="108" t="s">
        <v>398</v>
      </c>
      <c r="C6" s="108"/>
      <c r="D6" s="108"/>
      <c r="G6" t="s">
        <v>155</v>
      </c>
      <c r="H6">
        <v>2.4885552414049591E-9</v>
      </c>
    </row>
    <row r="7" spans="1:8" x14ac:dyDescent="0.35">
      <c r="A7" s="108"/>
      <c r="B7" s="108"/>
      <c r="C7" s="108"/>
      <c r="D7" s="108"/>
      <c r="G7" t="s">
        <v>156</v>
      </c>
      <c r="H7">
        <v>4.4986934380165298E-8</v>
      </c>
    </row>
    <row r="8" spans="1:8" x14ac:dyDescent="0.35">
      <c r="A8" s="109" t="s">
        <v>211</v>
      </c>
      <c r="B8" s="109"/>
      <c r="C8" s="109" t="s">
        <v>154</v>
      </c>
      <c r="D8" s="109"/>
      <c r="G8" t="s">
        <v>157</v>
      </c>
      <c r="H8">
        <v>2.6193388429752068E-4</v>
      </c>
    </row>
    <row r="9" spans="1:8" x14ac:dyDescent="0.35">
      <c r="A9" s="107" t="s">
        <v>43</v>
      </c>
      <c r="B9" s="110" t="s">
        <v>530</v>
      </c>
      <c r="C9" s="161">
        <f>0.00586/C5</f>
        <v>0.484297520661157</v>
      </c>
      <c r="D9" s="108"/>
      <c r="G9" t="s">
        <v>158</v>
      </c>
      <c r="H9">
        <v>1.1800609917355374E-3</v>
      </c>
    </row>
    <row r="10" spans="1:8" x14ac:dyDescent="0.35">
      <c r="A10" s="107"/>
      <c r="B10" s="108" t="s">
        <v>399</v>
      </c>
      <c r="C10" s="161"/>
      <c r="D10" s="108"/>
      <c r="G10" t="s">
        <v>159</v>
      </c>
      <c r="H10">
        <v>3.0489816730793394E-5</v>
      </c>
    </row>
    <row r="11" spans="1:8" x14ac:dyDescent="0.35">
      <c r="A11" s="107" t="s">
        <v>400</v>
      </c>
      <c r="B11" s="110" t="s">
        <v>530</v>
      </c>
      <c r="C11" s="161">
        <f>0.00368/C5</f>
        <v>0.30413223140495871</v>
      </c>
      <c r="D11" s="108"/>
      <c r="G11" t="s">
        <v>160</v>
      </c>
      <c r="H11">
        <v>6.0847107438016532E-6</v>
      </c>
    </row>
    <row r="12" spans="1:8" x14ac:dyDescent="0.35">
      <c r="A12" s="107"/>
      <c r="B12" s="108" t="s">
        <v>401</v>
      </c>
      <c r="C12" s="161"/>
      <c r="D12" s="108"/>
      <c r="G12" t="s">
        <v>161</v>
      </c>
      <c r="H12">
        <v>4.0859449438016536E-7</v>
      </c>
    </row>
    <row r="13" spans="1:8" x14ac:dyDescent="0.35">
      <c r="A13" s="107"/>
      <c r="B13" s="108" t="s">
        <v>402</v>
      </c>
      <c r="C13" s="161"/>
      <c r="D13" s="108"/>
      <c r="G13" t="s">
        <v>162</v>
      </c>
      <c r="H13">
        <v>7.6570590570247951E-9</v>
      </c>
    </row>
    <row r="14" spans="1:8" x14ac:dyDescent="0.35">
      <c r="A14" s="108"/>
      <c r="B14" s="108" t="s">
        <v>403</v>
      </c>
      <c r="C14" s="161"/>
      <c r="D14" s="108"/>
      <c r="G14" t="s">
        <v>163</v>
      </c>
      <c r="H14">
        <v>2.7118990197520661E-9</v>
      </c>
    </row>
    <row r="15" spans="1:8" x14ac:dyDescent="0.35">
      <c r="A15" s="111" t="s">
        <v>404</v>
      </c>
      <c r="B15" s="108" t="s">
        <v>405</v>
      </c>
      <c r="C15" s="161"/>
      <c r="D15" s="108"/>
      <c r="G15" t="s">
        <v>164</v>
      </c>
      <c r="H15">
        <v>7.3137431834710744E-6</v>
      </c>
    </row>
    <row r="16" spans="1:8" x14ac:dyDescent="0.35">
      <c r="A16" s="111"/>
      <c r="B16" s="108" t="s">
        <v>406</v>
      </c>
      <c r="C16" s="161"/>
      <c r="D16" s="107"/>
      <c r="G16" t="s">
        <v>165</v>
      </c>
      <c r="H16">
        <v>9.2358876033057848E-6</v>
      </c>
    </row>
    <row r="17" spans="1:8" x14ac:dyDescent="0.35">
      <c r="A17" s="112" t="s">
        <v>257</v>
      </c>
      <c r="B17" s="108" t="s">
        <v>407</v>
      </c>
      <c r="C17" s="161"/>
      <c r="D17" s="107"/>
      <c r="G17" t="s">
        <v>166</v>
      </c>
      <c r="H17">
        <v>3.7040429752066117E-4</v>
      </c>
    </row>
    <row r="18" spans="1:8" x14ac:dyDescent="0.35">
      <c r="A18" s="112" t="s">
        <v>408</v>
      </c>
      <c r="B18" s="108" t="s">
        <v>409</v>
      </c>
      <c r="C18" s="161"/>
      <c r="D18" s="107"/>
      <c r="G18" t="s">
        <v>167</v>
      </c>
      <c r="H18">
        <v>1.8107603305785123E-4</v>
      </c>
    </row>
    <row r="19" spans="1:8" x14ac:dyDescent="0.35">
      <c r="A19" s="112"/>
      <c r="B19" s="108" t="s">
        <v>410</v>
      </c>
      <c r="C19" s="161"/>
      <c r="D19" s="107"/>
      <c r="G19" t="s">
        <v>168</v>
      </c>
      <c r="H19">
        <v>2.5523677495041326E-9</v>
      </c>
    </row>
    <row r="20" spans="1:8" x14ac:dyDescent="0.35">
      <c r="A20" s="119" t="s">
        <v>411</v>
      </c>
      <c r="B20" s="108" t="s">
        <v>412</v>
      </c>
      <c r="C20" s="161"/>
      <c r="D20" s="107"/>
      <c r="G20" t="s">
        <v>169</v>
      </c>
      <c r="H20">
        <v>1.0953744032231406E-8</v>
      </c>
    </row>
    <row r="21" spans="1:8" x14ac:dyDescent="0.35">
      <c r="A21" s="119" t="s">
        <v>257</v>
      </c>
      <c r="B21" s="108" t="s">
        <v>413</v>
      </c>
      <c r="C21" s="161"/>
      <c r="D21" s="107"/>
      <c r="G21" t="s">
        <v>170</v>
      </c>
      <c r="H21">
        <v>8.5077451933884304E-10</v>
      </c>
    </row>
    <row r="22" spans="1:8" x14ac:dyDescent="0.35">
      <c r="A22" s="119" t="s">
        <v>226</v>
      </c>
      <c r="B22" s="108" t="s">
        <v>414</v>
      </c>
      <c r="C22" s="161"/>
      <c r="D22" s="107"/>
      <c r="G22" t="s">
        <v>171</v>
      </c>
      <c r="H22">
        <v>3.6442975206611574E-6</v>
      </c>
    </row>
    <row r="23" spans="1:8" x14ac:dyDescent="0.35">
      <c r="A23" s="119"/>
      <c r="B23" s="108" t="s">
        <v>410</v>
      </c>
      <c r="C23" s="161"/>
      <c r="D23" s="107"/>
      <c r="G23" t="s">
        <v>172</v>
      </c>
      <c r="H23">
        <v>1.5479504132231406E-4</v>
      </c>
    </row>
    <row r="24" spans="1:8" x14ac:dyDescent="0.35">
      <c r="A24" s="121" t="s">
        <v>415</v>
      </c>
      <c r="B24" s="108" t="s">
        <v>416</v>
      </c>
      <c r="C24" s="161"/>
      <c r="D24" s="107"/>
      <c r="G24" t="s">
        <v>173</v>
      </c>
      <c r="H24">
        <v>8.6889302925619845E-8</v>
      </c>
    </row>
    <row r="25" spans="1:8" x14ac:dyDescent="0.35">
      <c r="A25" s="121" t="s">
        <v>252</v>
      </c>
      <c r="B25" s="124" t="s">
        <v>253</v>
      </c>
      <c r="C25" s="161"/>
      <c r="D25" s="107"/>
      <c r="G25" t="s">
        <v>174</v>
      </c>
      <c r="H25">
        <v>1.5802512396694213E-4</v>
      </c>
    </row>
    <row r="26" spans="1:8" x14ac:dyDescent="0.35">
      <c r="A26" s="121" t="s">
        <v>232</v>
      </c>
      <c r="B26" s="108" t="s">
        <v>233</v>
      </c>
      <c r="C26" s="161"/>
      <c r="D26" s="107"/>
      <c r="G26" t="s">
        <v>175</v>
      </c>
      <c r="H26">
        <v>9.4883543033057871E-5</v>
      </c>
    </row>
    <row r="27" spans="1:8" x14ac:dyDescent="0.35">
      <c r="A27" s="119" t="s">
        <v>332</v>
      </c>
      <c r="B27" s="108" t="s">
        <v>417</v>
      </c>
      <c r="C27" s="161"/>
      <c r="D27" s="107"/>
      <c r="G27" t="s">
        <v>176</v>
      </c>
      <c r="H27">
        <v>8.7791735537190102E-5</v>
      </c>
    </row>
    <row r="28" spans="1:8" x14ac:dyDescent="0.35">
      <c r="A28" s="119" t="s">
        <v>418</v>
      </c>
      <c r="B28" s="108" t="s">
        <v>308</v>
      </c>
      <c r="C28" s="161"/>
      <c r="D28" s="107"/>
      <c r="G28" t="s">
        <v>177</v>
      </c>
      <c r="H28">
        <v>9.6857950413223128E-7</v>
      </c>
    </row>
    <row r="29" spans="1:8" x14ac:dyDescent="0.35">
      <c r="A29" s="112" t="s">
        <v>234</v>
      </c>
      <c r="B29" s="108" t="s">
        <v>419</v>
      </c>
      <c r="C29" s="161"/>
      <c r="D29" s="107"/>
      <c r="G29" t="s">
        <v>178</v>
      </c>
      <c r="H29">
        <v>1.8951519458677689E-7</v>
      </c>
    </row>
    <row r="30" spans="1:8" x14ac:dyDescent="0.35">
      <c r="A30" s="112" t="s">
        <v>332</v>
      </c>
      <c r="B30" s="107" t="s">
        <v>417</v>
      </c>
      <c r="C30" s="161"/>
      <c r="D30" s="107"/>
      <c r="G30" t="s">
        <v>179</v>
      </c>
      <c r="H30">
        <v>4.1475920690082647E-9</v>
      </c>
    </row>
    <row r="31" spans="1:8" x14ac:dyDescent="0.35">
      <c r="A31" s="112" t="s">
        <v>420</v>
      </c>
      <c r="B31" s="107" t="s">
        <v>421</v>
      </c>
      <c r="C31" s="161"/>
      <c r="D31" s="108"/>
      <c r="G31" t="s">
        <v>180</v>
      </c>
      <c r="H31">
        <v>4.2911702122314057E-8</v>
      </c>
    </row>
    <row r="32" spans="1:8" x14ac:dyDescent="0.35">
      <c r="A32" s="112"/>
      <c r="B32" s="108" t="s">
        <v>410</v>
      </c>
      <c r="C32" s="161"/>
      <c r="D32" s="108"/>
      <c r="G32" t="s">
        <v>181</v>
      </c>
      <c r="H32">
        <v>2.7735903364462821E-7</v>
      </c>
    </row>
    <row r="33" spans="1:8" x14ac:dyDescent="0.35">
      <c r="A33" s="119" t="s">
        <v>257</v>
      </c>
      <c r="B33" s="107" t="s">
        <v>413</v>
      </c>
      <c r="C33" s="161"/>
      <c r="D33" s="108"/>
      <c r="G33" t="s">
        <v>182</v>
      </c>
      <c r="H33">
        <v>1.0996609775206613E-8</v>
      </c>
    </row>
    <row r="34" spans="1:8" x14ac:dyDescent="0.35">
      <c r="A34" s="119" t="s">
        <v>332</v>
      </c>
      <c r="B34" s="107" t="s">
        <v>417</v>
      </c>
      <c r="C34" s="161"/>
      <c r="D34" s="108"/>
      <c r="G34" t="s">
        <v>183</v>
      </c>
      <c r="H34">
        <v>1.1388429752066118E-6</v>
      </c>
    </row>
    <row r="35" spans="1:8" x14ac:dyDescent="0.35">
      <c r="A35" s="119" t="s">
        <v>422</v>
      </c>
      <c r="B35" s="107" t="s">
        <v>423</v>
      </c>
      <c r="C35" s="161"/>
      <c r="D35" s="108"/>
      <c r="G35" t="s">
        <v>184</v>
      </c>
      <c r="H35">
        <v>3.178693703305786E-5</v>
      </c>
    </row>
    <row r="36" spans="1:8" x14ac:dyDescent="0.35">
      <c r="A36" s="119" t="s">
        <v>418</v>
      </c>
      <c r="B36" s="107" t="s">
        <v>308</v>
      </c>
      <c r="C36" s="161"/>
      <c r="D36" s="108"/>
      <c r="G36" t="s">
        <v>185</v>
      </c>
      <c r="H36">
        <v>4.3801652892561988E-4</v>
      </c>
    </row>
    <row r="37" spans="1:8" x14ac:dyDescent="0.35">
      <c r="A37" s="123" t="s">
        <v>257</v>
      </c>
      <c r="B37" s="108" t="s">
        <v>407</v>
      </c>
      <c r="C37" s="161"/>
      <c r="D37" s="108"/>
      <c r="G37" t="s">
        <v>186</v>
      </c>
      <c r="H37">
        <v>5.4342272305785128E-9</v>
      </c>
    </row>
    <row r="38" spans="1:8" x14ac:dyDescent="0.35">
      <c r="A38" s="123" t="s">
        <v>424</v>
      </c>
      <c r="B38" s="108" t="s">
        <v>425</v>
      </c>
      <c r="C38" s="161"/>
      <c r="D38" s="108"/>
      <c r="G38" t="s">
        <v>187</v>
      </c>
      <c r="H38">
        <v>2.0262644628099176E-4</v>
      </c>
    </row>
    <row r="39" spans="1:8" x14ac:dyDescent="0.35">
      <c r="A39" s="123"/>
      <c r="B39" s="108" t="s">
        <v>426</v>
      </c>
      <c r="C39" s="161"/>
      <c r="D39" s="108"/>
      <c r="G39" t="s">
        <v>188</v>
      </c>
      <c r="H39">
        <v>7.0527272727272736E-6</v>
      </c>
    </row>
    <row r="40" spans="1:8" x14ac:dyDescent="0.35">
      <c r="A40" s="123" t="s">
        <v>427</v>
      </c>
      <c r="B40" s="108" t="s">
        <v>428</v>
      </c>
      <c r="C40" s="161"/>
      <c r="D40" s="108"/>
      <c r="G40" t="s">
        <v>189</v>
      </c>
      <c r="H40">
        <v>7.0527272727272736E-6</v>
      </c>
    </row>
    <row r="41" spans="1:8" x14ac:dyDescent="0.35">
      <c r="A41" s="111" t="s">
        <v>429</v>
      </c>
      <c r="B41" s="124" t="s">
        <v>430</v>
      </c>
      <c r="C41" s="161"/>
      <c r="D41" s="108"/>
      <c r="G41" t="s">
        <v>190</v>
      </c>
      <c r="H41">
        <v>6.3370502479338842E-7</v>
      </c>
    </row>
    <row r="42" spans="1:8" x14ac:dyDescent="0.35">
      <c r="A42" s="111"/>
      <c r="B42" s="124" t="s">
        <v>431</v>
      </c>
      <c r="C42" s="161"/>
      <c r="D42" s="108"/>
      <c r="G42" t="s">
        <v>191</v>
      </c>
      <c r="H42">
        <v>7.0527272727272736E-6</v>
      </c>
    </row>
    <row r="43" spans="1:8" x14ac:dyDescent="0.35">
      <c r="A43" s="111"/>
      <c r="B43" s="162" t="s">
        <v>432</v>
      </c>
      <c r="C43" s="161"/>
      <c r="D43" s="108"/>
      <c r="G43" t="s">
        <v>192</v>
      </c>
      <c r="H43">
        <v>2.2349430418743804E-4</v>
      </c>
    </row>
    <row r="44" spans="1:8" x14ac:dyDescent="0.35">
      <c r="A44" s="111" t="s">
        <v>191</v>
      </c>
      <c r="B44" s="108" t="s">
        <v>433</v>
      </c>
      <c r="C44" s="161">
        <f>(0.02/1)*C11</f>
        <v>6.0826446280991741E-3</v>
      </c>
      <c r="D44" s="108"/>
      <c r="G44" t="s">
        <v>193</v>
      </c>
      <c r="H44">
        <v>3.2150413223140501E-5</v>
      </c>
    </row>
    <row r="45" spans="1:8" x14ac:dyDescent="0.35">
      <c r="A45" s="111"/>
      <c r="B45" s="108" t="s">
        <v>410</v>
      </c>
      <c r="C45" s="161"/>
      <c r="D45" s="108"/>
      <c r="G45" t="s">
        <v>194</v>
      </c>
      <c r="H45">
        <v>7.0527272727272736E-6</v>
      </c>
    </row>
    <row r="46" spans="1:8" x14ac:dyDescent="0.35">
      <c r="A46" s="112" t="s">
        <v>257</v>
      </c>
      <c r="B46" s="108" t="s">
        <v>413</v>
      </c>
      <c r="C46" s="161"/>
      <c r="D46" s="108"/>
      <c r="G46" t="s">
        <v>195</v>
      </c>
      <c r="H46">
        <v>3.655038703638017E-6</v>
      </c>
    </row>
    <row r="47" spans="1:8" x14ac:dyDescent="0.35">
      <c r="A47" s="112" t="s">
        <v>332</v>
      </c>
      <c r="B47" s="108" t="s">
        <v>417</v>
      </c>
      <c r="C47" s="161"/>
      <c r="D47" s="108"/>
      <c r="G47" t="s">
        <v>196</v>
      </c>
      <c r="H47">
        <v>1.6625623561983472E-5</v>
      </c>
    </row>
    <row r="48" spans="1:8" x14ac:dyDescent="0.35">
      <c r="A48" s="112" t="s">
        <v>434</v>
      </c>
      <c r="B48" s="108" t="s">
        <v>435</v>
      </c>
      <c r="C48" s="161"/>
      <c r="D48" s="108"/>
      <c r="G48" t="s">
        <v>197</v>
      </c>
      <c r="H48">
        <v>5.4314049586776866E-5</v>
      </c>
    </row>
    <row r="49" spans="1:8" x14ac:dyDescent="0.35">
      <c r="A49" s="112"/>
      <c r="B49" s="108" t="s">
        <v>426</v>
      </c>
      <c r="C49" s="161"/>
      <c r="D49" s="108"/>
      <c r="G49" t="s">
        <v>198</v>
      </c>
      <c r="H49">
        <v>3.5804585338415277E-3</v>
      </c>
    </row>
    <row r="50" spans="1:8" x14ac:dyDescent="0.35">
      <c r="A50" s="112" t="s">
        <v>436</v>
      </c>
      <c r="B50" s="108" t="s">
        <v>437</v>
      </c>
      <c r="C50" s="161">
        <f>(1.04/1)*C44</f>
        <v>6.3259504132231409E-3</v>
      </c>
      <c r="D50" s="108"/>
    </row>
    <row r="51" spans="1:8" x14ac:dyDescent="0.35">
      <c r="A51" s="112"/>
      <c r="B51" s="108" t="s">
        <v>410</v>
      </c>
      <c r="C51" s="161"/>
      <c r="D51" s="108"/>
    </row>
    <row r="52" spans="1:8" x14ac:dyDescent="0.35">
      <c r="A52" s="112"/>
      <c r="B52" s="108" t="s">
        <v>438</v>
      </c>
      <c r="C52" s="161"/>
      <c r="D52" s="108"/>
    </row>
    <row r="53" spans="1:8" x14ac:dyDescent="0.35">
      <c r="A53" s="119" t="s">
        <v>165</v>
      </c>
      <c r="B53" s="163" t="s">
        <v>439</v>
      </c>
      <c r="C53" s="164">
        <f>(0.00146/1)*C50</f>
        <v>9.2358876033057848E-6</v>
      </c>
      <c r="D53" s="123"/>
    </row>
    <row r="54" spans="1:8" x14ac:dyDescent="0.35">
      <c r="A54" s="165" t="s">
        <v>177</v>
      </c>
      <c r="B54" s="125"/>
      <c r="C54" s="166">
        <f>0.05*C53</f>
        <v>4.6179438016528928E-7</v>
      </c>
      <c r="D54" s="123"/>
    </row>
    <row r="55" spans="1:8" x14ac:dyDescent="0.35">
      <c r="A55" s="165" t="s">
        <v>196</v>
      </c>
      <c r="B55" s="125"/>
      <c r="C55" s="166">
        <f>0.05*C53</f>
        <v>4.6179438016528928E-7</v>
      </c>
      <c r="D55" s="123"/>
    </row>
    <row r="56" spans="1:8" x14ac:dyDescent="0.35">
      <c r="A56" s="119" t="s">
        <v>257</v>
      </c>
      <c r="B56" s="120" t="s">
        <v>413</v>
      </c>
      <c r="C56" s="161"/>
      <c r="D56" s="123"/>
    </row>
    <row r="57" spans="1:8" x14ac:dyDescent="0.35">
      <c r="A57" s="119" t="s">
        <v>332</v>
      </c>
      <c r="B57" s="120" t="s">
        <v>417</v>
      </c>
      <c r="C57" s="161"/>
      <c r="D57" s="123"/>
    </row>
    <row r="58" spans="1:8" x14ac:dyDescent="0.35">
      <c r="A58" s="119" t="s">
        <v>434</v>
      </c>
      <c r="B58" s="120" t="s">
        <v>426</v>
      </c>
      <c r="C58" s="161"/>
      <c r="D58" s="123"/>
    </row>
    <row r="59" spans="1:8" x14ac:dyDescent="0.35">
      <c r="A59" s="119" t="s">
        <v>361</v>
      </c>
      <c r="B59" s="120" t="s">
        <v>308</v>
      </c>
      <c r="C59" s="161"/>
      <c r="D59" s="123"/>
    </row>
    <row r="60" spans="1:8" x14ac:dyDescent="0.35">
      <c r="A60" s="119" t="s">
        <v>362</v>
      </c>
      <c r="B60" s="108" t="s">
        <v>363</v>
      </c>
      <c r="C60" s="161"/>
      <c r="D60" s="123"/>
    </row>
    <row r="61" spans="1:8" x14ac:dyDescent="0.35">
      <c r="A61" s="112" t="s">
        <v>362</v>
      </c>
      <c r="B61" s="108" t="s">
        <v>363</v>
      </c>
      <c r="C61" s="161"/>
      <c r="D61" s="108"/>
    </row>
    <row r="62" spans="1:8" x14ac:dyDescent="0.35">
      <c r="A62" s="167" t="s">
        <v>440</v>
      </c>
      <c r="B62" s="110" t="s">
        <v>213</v>
      </c>
      <c r="C62" s="161">
        <f>0.000475/C5</f>
        <v>3.9256198347107439E-2</v>
      </c>
      <c r="D62" s="108"/>
    </row>
    <row r="63" spans="1:8" x14ac:dyDescent="0.35">
      <c r="A63" s="108"/>
      <c r="B63" s="108"/>
      <c r="C63" s="161"/>
      <c r="D63" s="108"/>
    </row>
    <row r="64" spans="1:8" x14ac:dyDescent="0.35">
      <c r="A64" s="125" t="s">
        <v>8</v>
      </c>
      <c r="B64" s="110" t="s">
        <v>213</v>
      </c>
      <c r="C64" s="161">
        <f>0.00212/C5</f>
        <v>0.17520661157024794</v>
      </c>
      <c r="D64" s="108"/>
    </row>
    <row r="65" spans="1:4" x14ac:dyDescent="0.35">
      <c r="A65" s="108"/>
      <c r="B65" s="107" t="s">
        <v>441</v>
      </c>
      <c r="C65" s="161"/>
      <c r="D65" s="108"/>
    </row>
    <row r="66" spans="1:4" x14ac:dyDescent="0.35">
      <c r="A66" s="108"/>
      <c r="B66" s="108" t="s">
        <v>442</v>
      </c>
      <c r="C66" s="161"/>
      <c r="D66" s="108"/>
    </row>
    <row r="67" spans="1:4" x14ac:dyDescent="0.35">
      <c r="A67" s="108"/>
      <c r="B67" s="108" t="s">
        <v>443</v>
      </c>
      <c r="C67" s="161"/>
      <c r="D67" s="108"/>
    </row>
    <row r="68" spans="1:4" x14ac:dyDescent="0.35">
      <c r="A68" s="123" t="s">
        <v>330</v>
      </c>
      <c r="B68" s="108" t="s">
        <v>275</v>
      </c>
      <c r="C68" s="161"/>
      <c r="D68" s="108"/>
    </row>
    <row r="69" spans="1:4" x14ac:dyDescent="0.35">
      <c r="A69" s="123" t="s">
        <v>257</v>
      </c>
      <c r="B69" s="108" t="s">
        <v>407</v>
      </c>
      <c r="C69" s="161"/>
      <c r="D69" s="108"/>
    </row>
    <row r="70" spans="1:4" x14ac:dyDescent="0.35">
      <c r="A70" s="111" t="s">
        <v>444</v>
      </c>
      <c r="B70" s="108" t="s">
        <v>445</v>
      </c>
      <c r="C70" s="161"/>
      <c r="D70" s="108"/>
    </row>
    <row r="71" spans="1:4" x14ac:dyDescent="0.35">
      <c r="A71" s="111"/>
      <c r="B71" s="108" t="s">
        <v>446</v>
      </c>
      <c r="C71" s="161"/>
      <c r="D71" s="108"/>
    </row>
    <row r="72" spans="1:4" x14ac:dyDescent="0.35">
      <c r="A72" s="112" t="s">
        <v>257</v>
      </c>
      <c r="B72" s="108" t="s">
        <v>256</v>
      </c>
      <c r="C72" s="161"/>
      <c r="D72" s="108"/>
    </row>
    <row r="73" spans="1:4" x14ac:dyDescent="0.35">
      <c r="A73" s="112" t="s">
        <v>232</v>
      </c>
      <c r="B73" s="108" t="s">
        <v>233</v>
      </c>
      <c r="C73" s="161"/>
      <c r="D73" s="108"/>
    </row>
    <row r="74" spans="1:4" x14ac:dyDescent="0.35">
      <c r="A74" s="112" t="s">
        <v>332</v>
      </c>
      <c r="B74" s="108" t="s">
        <v>261</v>
      </c>
      <c r="C74" s="161"/>
      <c r="D74" s="108"/>
    </row>
    <row r="75" spans="1:4" x14ac:dyDescent="0.35">
      <c r="A75" s="112" t="s">
        <v>447</v>
      </c>
      <c r="B75" s="108" t="s">
        <v>448</v>
      </c>
      <c r="C75" s="161"/>
      <c r="D75" s="108"/>
    </row>
    <row r="76" spans="1:4" x14ac:dyDescent="0.35">
      <c r="A76" s="112"/>
      <c r="B76" s="108" t="s">
        <v>446</v>
      </c>
      <c r="C76" s="161"/>
      <c r="D76" s="108"/>
    </row>
    <row r="77" spans="1:4" x14ac:dyDescent="0.35">
      <c r="A77" s="119" t="s">
        <v>257</v>
      </c>
      <c r="B77" s="108" t="s">
        <v>256</v>
      </c>
      <c r="C77" s="161"/>
      <c r="D77" s="108"/>
    </row>
    <row r="78" spans="1:4" x14ac:dyDescent="0.35">
      <c r="A78" s="119" t="s">
        <v>332</v>
      </c>
      <c r="B78" s="108" t="s">
        <v>261</v>
      </c>
      <c r="C78" s="161"/>
      <c r="D78" s="108"/>
    </row>
    <row r="79" spans="1:4" x14ac:dyDescent="0.35">
      <c r="A79" s="119" t="s">
        <v>449</v>
      </c>
      <c r="B79" s="108" t="s">
        <v>450</v>
      </c>
      <c r="C79" s="161"/>
      <c r="D79" s="108"/>
    </row>
    <row r="80" spans="1:4" x14ac:dyDescent="0.35">
      <c r="A80" s="121" t="s">
        <v>451</v>
      </c>
      <c r="B80" s="113" t="s">
        <v>452</v>
      </c>
      <c r="C80" s="161"/>
      <c r="D80" s="108"/>
    </row>
    <row r="81" spans="1:4" x14ac:dyDescent="0.35">
      <c r="A81" s="121" t="s">
        <v>272</v>
      </c>
      <c r="B81" s="113" t="s">
        <v>453</v>
      </c>
      <c r="C81" s="161"/>
      <c r="D81" s="108"/>
    </row>
    <row r="82" spans="1:4" x14ac:dyDescent="0.35">
      <c r="A82" s="121" t="s">
        <v>454</v>
      </c>
      <c r="B82" s="108" t="s">
        <v>455</v>
      </c>
      <c r="C82" s="161"/>
      <c r="D82" s="108"/>
    </row>
    <row r="83" spans="1:4" x14ac:dyDescent="0.35">
      <c r="A83" s="121" t="s">
        <v>456</v>
      </c>
      <c r="B83" s="108" t="s">
        <v>457</v>
      </c>
      <c r="C83" s="161"/>
      <c r="D83" s="108"/>
    </row>
    <row r="84" spans="1:4" x14ac:dyDescent="0.35">
      <c r="A84" s="122" t="s">
        <v>458</v>
      </c>
      <c r="B84" s="108" t="s">
        <v>275</v>
      </c>
      <c r="C84" s="161"/>
      <c r="D84" s="108"/>
    </row>
    <row r="85" spans="1:4" x14ac:dyDescent="0.35">
      <c r="A85" s="122" t="s">
        <v>459</v>
      </c>
      <c r="B85" s="168" t="s">
        <v>460</v>
      </c>
      <c r="C85" s="161"/>
      <c r="D85" s="108"/>
    </row>
    <row r="86" spans="1:4" x14ac:dyDescent="0.35">
      <c r="A86" s="169" t="s">
        <v>461</v>
      </c>
      <c r="B86" s="168" t="s">
        <v>462</v>
      </c>
      <c r="C86" s="161"/>
      <c r="D86" s="108"/>
    </row>
    <row r="87" spans="1:4" x14ac:dyDescent="0.35">
      <c r="A87" s="170" t="s">
        <v>458</v>
      </c>
      <c r="B87" s="168" t="s">
        <v>275</v>
      </c>
      <c r="C87" s="161"/>
      <c r="D87" s="108"/>
    </row>
    <row r="88" spans="1:4" x14ac:dyDescent="0.35">
      <c r="A88" s="169" t="s">
        <v>463</v>
      </c>
      <c r="B88" s="168" t="s">
        <v>464</v>
      </c>
      <c r="C88" s="161"/>
      <c r="D88" s="108"/>
    </row>
    <row r="89" spans="1:4" x14ac:dyDescent="0.35">
      <c r="A89" s="169"/>
      <c r="B89" s="168" t="s">
        <v>465</v>
      </c>
      <c r="C89" s="161"/>
      <c r="D89" s="108"/>
    </row>
    <row r="90" spans="1:4" x14ac:dyDescent="0.35">
      <c r="A90" s="170" t="s">
        <v>466</v>
      </c>
      <c r="B90" s="168" t="s">
        <v>467</v>
      </c>
      <c r="C90" s="161"/>
      <c r="D90" s="108"/>
    </row>
    <row r="91" spans="1:4" x14ac:dyDescent="0.35">
      <c r="A91" s="122" t="s">
        <v>468</v>
      </c>
      <c r="B91" s="113" t="s">
        <v>469</v>
      </c>
      <c r="C91" s="161"/>
      <c r="D91" s="108"/>
    </row>
    <row r="92" spans="1:4" x14ac:dyDescent="0.35">
      <c r="A92" s="122" t="s">
        <v>272</v>
      </c>
      <c r="B92" s="113" t="s">
        <v>453</v>
      </c>
      <c r="C92" s="161"/>
      <c r="D92" s="108"/>
    </row>
    <row r="93" spans="1:4" x14ac:dyDescent="0.35">
      <c r="A93" s="121" t="s">
        <v>470</v>
      </c>
      <c r="B93" s="107" t="s">
        <v>471</v>
      </c>
      <c r="C93" s="161"/>
      <c r="D93" s="108"/>
    </row>
    <row r="94" spans="1:4" x14ac:dyDescent="0.35">
      <c r="A94" s="122" t="s">
        <v>274</v>
      </c>
      <c r="B94" s="107" t="s">
        <v>275</v>
      </c>
      <c r="C94" s="161"/>
      <c r="D94" s="108"/>
    </row>
    <row r="95" spans="1:4" x14ac:dyDescent="0.35">
      <c r="A95" s="119" t="s">
        <v>311</v>
      </c>
      <c r="B95" s="108" t="s">
        <v>472</v>
      </c>
      <c r="C95" s="161"/>
      <c r="D95" s="108"/>
    </row>
    <row r="96" spans="1:4" x14ac:dyDescent="0.35">
      <c r="A96" s="112" t="s">
        <v>246</v>
      </c>
      <c r="B96" s="108" t="s">
        <v>473</v>
      </c>
      <c r="C96" s="161"/>
      <c r="D96" s="108"/>
    </row>
    <row r="97" spans="1:4" x14ac:dyDescent="0.35">
      <c r="A97" s="119" t="s">
        <v>474</v>
      </c>
      <c r="B97" s="108" t="s">
        <v>475</v>
      </c>
      <c r="C97" s="161"/>
      <c r="D97" s="108"/>
    </row>
    <row r="98" spans="1:4" x14ac:dyDescent="0.35">
      <c r="A98" s="119" t="s">
        <v>476</v>
      </c>
      <c r="B98" s="108" t="s">
        <v>256</v>
      </c>
      <c r="C98" s="161"/>
      <c r="D98" s="108"/>
    </row>
    <row r="99" spans="1:4" x14ac:dyDescent="0.35">
      <c r="A99" s="119" t="s">
        <v>477</v>
      </c>
      <c r="B99" s="108" t="s">
        <v>233</v>
      </c>
      <c r="C99" s="161"/>
      <c r="D99" s="108"/>
    </row>
    <row r="100" spans="1:4" x14ac:dyDescent="0.35">
      <c r="A100" s="119" t="s">
        <v>478</v>
      </c>
      <c r="B100" s="108" t="s">
        <v>261</v>
      </c>
      <c r="C100" s="161"/>
      <c r="D100" s="108"/>
    </row>
    <row r="101" spans="1:4" x14ac:dyDescent="0.35">
      <c r="A101" s="119" t="s">
        <v>479</v>
      </c>
      <c r="B101" s="108" t="s">
        <v>480</v>
      </c>
      <c r="C101" s="161"/>
      <c r="D101" s="108"/>
    </row>
    <row r="102" spans="1:4" x14ac:dyDescent="0.35">
      <c r="A102" s="111" t="s">
        <v>481</v>
      </c>
      <c r="B102" s="107" t="s">
        <v>482</v>
      </c>
      <c r="C102" s="161">
        <f>D102*$C$62</f>
        <v>1.3739669421487603E-2</v>
      </c>
      <c r="D102" s="161">
        <f>350/1000</f>
        <v>0.35</v>
      </c>
    </row>
    <row r="103" spans="1:4" x14ac:dyDescent="0.35">
      <c r="A103" s="111"/>
      <c r="B103" s="107" t="s">
        <v>442</v>
      </c>
      <c r="C103" s="161"/>
      <c r="D103" s="161"/>
    </row>
    <row r="104" spans="1:4" x14ac:dyDescent="0.35">
      <c r="A104" s="111"/>
      <c r="B104" s="107" t="s">
        <v>483</v>
      </c>
      <c r="C104" s="161"/>
      <c r="D104" s="161"/>
    </row>
    <row r="105" spans="1:4" x14ac:dyDescent="0.35">
      <c r="A105" s="114" t="s">
        <v>166</v>
      </c>
      <c r="B105" s="115"/>
      <c r="C105" s="171">
        <f>D105*$C$62</f>
        <v>4.0532024793388429E-5</v>
      </c>
      <c r="D105" s="171">
        <f>(2.95/1000)*D102</f>
        <v>1.0325E-3</v>
      </c>
    </row>
    <row r="106" spans="1:4" x14ac:dyDescent="0.35">
      <c r="A106" s="114" t="s">
        <v>167</v>
      </c>
      <c r="B106" s="115"/>
      <c r="C106" s="171">
        <f>D106*$C$62</f>
        <v>3.5723140495867764E-5</v>
      </c>
      <c r="D106" s="171">
        <f>(2.6/1000)*D102</f>
        <v>9.0999999999999989E-4</v>
      </c>
    </row>
    <row r="107" spans="1:4" x14ac:dyDescent="0.35">
      <c r="A107" s="112" t="s">
        <v>484</v>
      </c>
      <c r="B107" s="107" t="s">
        <v>275</v>
      </c>
      <c r="C107" s="172"/>
      <c r="D107" s="161"/>
    </row>
    <row r="108" spans="1:4" x14ac:dyDescent="0.35">
      <c r="A108" s="112" t="s">
        <v>257</v>
      </c>
      <c r="B108" s="107" t="s">
        <v>256</v>
      </c>
      <c r="C108" s="172"/>
      <c r="D108" s="161"/>
    </row>
    <row r="109" spans="1:4" x14ac:dyDescent="0.35">
      <c r="A109" s="114" t="s">
        <v>172</v>
      </c>
      <c r="B109" s="115"/>
      <c r="C109" s="171">
        <f>D109*$C$62</f>
        <v>1.5113636363636364E-6</v>
      </c>
      <c r="D109" s="173">
        <f>(0.11/1000)*D102</f>
        <v>3.8500000000000001E-5</v>
      </c>
    </row>
    <row r="110" spans="1:4" x14ac:dyDescent="0.35">
      <c r="A110" s="112" t="s">
        <v>485</v>
      </c>
      <c r="B110" s="107" t="s">
        <v>486</v>
      </c>
      <c r="C110" s="172"/>
      <c r="D110" s="161"/>
    </row>
    <row r="111" spans="1:4" x14ac:dyDescent="0.35">
      <c r="A111" s="112" t="s">
        <v>487</v>
      </c>
      <c r="B111" s="107" t="s">
        <v>488</v>
      </c>
      <c r="C111" s="172"/>
      <c r="D111" s="161"/>
    </row>
    <row r="112" spans="1:4" x14ac:dyDescent="0.35">
      <c r="A112" s="112" t="s">
        <v>489</v>
      </c>
      <c r="B112" s="107" t="s">
        <v>490</v>
      </c>
      <c r="C112" s="172"/>
      <c r="D112" s="161"/>
    </row>
    <row r="113" spans="1:4" x14ac:dyDescent="0.35">
      <c r="A113" s="112" t="s">
        <v>491</v>
      </c>
      <c r="B113" s="107" t="s">
        <v>492</v>
      </c>
      <c r="C113" s="172"/>
      <c r="D113" s="161"/>
    </row>
    <row r="114" spans="1:4" x14ac:dyDescent="0.35">
      <c r="A114" s="112" t="s">
        <v>334</v>
      </c>
      <c r="B114" s="107" t="s">
        <v>493</v>
      </c>
      <c r="C114" s="172"/>
      <c r="D114" s="161"/>
    </row>
    <row r="115" spans="1:4" x14ac:dyDescent="0.35">
      <c r="A115" s="112" t="s">
        <v>494</v>
      </c>
      <c r="B115" s="107" t="s">
        <v>495</v>
      </c>
      <c r="C115" s="172"/>
      <c r="D115" s="161"/>
    </row>
    <row r="116" spans="1:4" x14ac:dyDescent="0.35">
      <c r="A116" s="174" t="s">
        <v>496</v>
      </c>
      <c r="B116" s="107"/>
      <c r="C116" s="172">
        <f>D116*$C$62</f>
        <v>3.2837809917355366E-3</v>
      </c>
      <c r="D116" s="161">
        <f>(239/1000)*D102</f>
        <v>8.3649999999999988E-2</v>
      </c>
    </row>
    <row r="117" spans="1:4" x14ac:dyDescent="0.35">
      <c r="A117" s="175" t="s">
        <v>497</v>
      </c>
      <c r="B117" s="107"/>
      <c r="C117" s="172"/>
      <c r="D117" s="161"/>
    </row>
    <row r="118" spans="1:4" x14ac:dyDescent="0.35">
      <c r="A118" s="175" t="s">
        <v>498</v>
      </c>
      <c r="B118" s="107"/>
      <c r="C118" s="172"/>
      <c r="D118" s="161"/>
    </row>
    <row r="119" spans="1:4" x14ac:dyDescent="0.35">
      <c r="A119" s="112" t="s">
        <v>499</v>
      </c>
      <c r="B119" s="107" t="s">
        <v>455</v>
      </c>
      <c r="C119" s="172"/>
      <c r="D119" s="161"/>
    </row>
    <row r="120" spans="1:4" x14ac:dyDescent="0.35">
      <c r="A120" s="114" t="s">
        <v>187</v>
      </c>
      <c r="B120" s="115"/>
      <c r="C120" s="171">
        <f>D120*$C$62</f>
        <v>1.2228305785123966E-5</v>
      </c>
      <c r="D120" s="171">
        <f>0.89/1000*D102</f>
        <v>3.1149999999999998E-4</v>
      </c>
    </row>
    <row r="121" spans="1:4" x14ac:dyDescent="0.35">
      <c r="A121" s="112" t="s">
        <v>500</v>
      </c>
      <c r="B121" s="107" t="s">
        <v>501</v>
      </c>
      <c r="C121" s="161"/>
      <c r="D121" s="108"/>
    </row>
    <row r="122" spans="1:4" x14ac:dyDescent="0.35">
      <c r="A122" s="112" t="s">
        <v>361</v>
      </c>
      <c r="B122" s="107" t="s">
        <v>308</v>
      </c>
      <c r="C122" s="161"/>
      <c r="D122" s="161"/>
    </row>
    <row r="123" spans="1:4" x14ac:dyDescent="0.35">
      <c r="A123" s="114" t="s">
        <v>193</v>
      </c>
      <c r="B123" s="115"/>
      <c r="C123" s="171">
        <f>(0.02/1000)*C102</f>
        <v>2.7479338842975206E-7</v>
      </c>
      <c r="D123" s="173">
        <f>(0.02/1000)*D102</f>
        <v>6.9999999999999999E-6</v>
      </c>
    </row>
    <row r="124" spans="1:4" x14ac:dyDescent="0.35">
      <c r="A124" s="114" t="s">
        <v>502</v>
      </c>
      <c r="B124" s="115"/>
      <c r="C124" s="171">
        <f>(9/1000)*C102</f>
        <v>1.2365702479338842E-4</v>
      </c>
      <c r="D124" s="171">
        <f>(9/1000)*D102</f>
        <v>3.1499999999999996E-3</v>
      </c>
    </row>
    <row r="125" spans="1:4" x14ac:dyDescent="0.35">
      <c r="A125" s="112" t="s">
        <v>344</v>
      </c>
      <c r="B125" s="107" t="s">
        <v>345</v>
      </c>
      <c r="C125" s="161"/>
      <c r="D125" s="161"/>
    </row>
    <row r="126" spans="1:4" x14ac:dyDescent="0.35">
      <c r="A126" s="112" t="s">
        <v>503</v>
      </c>
      <c r="B126" s="113" t="s">
        <v>504</v>
      </c>
      <c r="C126" s="161"/>
      <c r="D126" s="161"/>
    </row>
    <row r="127" spans="1:4" x14ac:dyDescent="0.35">
      <c r="A127" s="112" t="s">
        <v>309</v>
      </c>
      <c r="B127" s="107" t="s">
        <v>505</v>
      </c>
      <c r="C127" s="161"/>
      <c r="D127" s="161"/>
    </row>
    <row r="128" spans="1:4" x14ac:dyDescent="0.35">
      <c r="A128" s="174" t="s">
        <v>506</v>
      </c>
      <c r="B128" s="107"/>
      <c r="C128" s="161">
        <f>(431/1000)*C102</f>
        <v>5.9217975206611569E-3</v>
      </c>
      <c r="D128" s="161">
        <f>(431/1000)*D102</f>
        <v>0.15084999999999998</v>
      </c>
    </row>
    <row r="129" spans="1:4" x14ac:dyDescent="0.35">
      <c r="A129" s="123" t="s">
        <v>487</v>
      </c>
      <c r="B129" s="108" t="s">
        <v>507</v>
      </c>
      <c r="C129" s="161"/>
      <c r="D129" s="161"/>
    </row>
    <row r="130" spans="1:4" x14ac:dyDescent="0.35">
      <c r="A130" s="123" t="s">
        <v>491</v>
      </c>
      <c r="B130" s="108" t="s">
        <v>508</v>
      </c>
      <c r="C130" s="161"/>
      <c r="D130" s="161"/>
    </row>
    <row r="131" spans="1:4" x14ac:dyDescent="0.35">
      <c r="A131" s="176" t="s">
        <v>509</v>
      </c>
      <c r="B131" s="177" t="s">
        <v>510</v>
      </c>
      <c r="C131" s="161">
        <f>D131*$C$62</f>
        <v>2.5516528925619838E-2</v>
      </c>
      <c r="D131" s="161">
        <f>(650/1000)</f>
        <v>0.65</v>
      </c>
    </row>
    <row r="132" spans="1:4" x14ac:dyDescent="0.35">
      <c r="A132" s="123" t="s">
        <v>511</v>
      </c>
      <c r="B132" s="108" t="s">
        <v>512</v>
      </c>
      <c r="C132" s="161"/>
      <c r="D132" s="161"/>
    </row>
    <row r="133" spans="1:4" x14ac:dyDescent="0.35">
      <c r="A133" s="111" t="s">
        <v>513</v>
      </c>
      <c r="B133" s="108" t="s">
        <v>514</v>
      </c>
      <c r="C133" s="161"/>
      <c r="D133" s="161"/>
    </row>
    <row r="134" spans="1:4" x14ac:dyDescent="0.35">
      <c r="A134" s="111"/>
      <c r="B134" s="108" t="s">
        <v>446</v>
      </c>
      <c r="C134" s="161"/>
      <c r="D134" s="161"/>
    </row>
    <row r="135" spans="1:4" x14ac:dyDescent="0.35">
      <c r="A135" s="112" t="s">
        <v>257</v>
      </c>
      <c r="B135" s="108" t="s">
        <v>256</v>
      </c>
      <c r="C135" s="161"/>
      <c r="D135" s="161"/>
    </row>
    <row r="136" spans="1:4" x14ac:dyDescent="0.35">
      <c r="A136" s="112" t="s">
        <v>332</v>
      </c>
      <c r="B136" s="108" t="s">
        <v>261</v>
      </c>
      <c r="C136" s="161"/>
      <c r="D136" s="161"/>
    </row>
    <row r="137" spans="1:4" x14ac:dyDescent="0.35">
      <c r="A137" s="114" t="s">
        <v>515</v>
      </c>
      <c r="B137" s="115" t="s">
        <v>510</v>
      </c>
      <c r="C137" s="171">
        <f>D137*$C$62</f>
        <v>6.6735537190082655E-4</v>
      </c>
      <c r="D137" s="171">
        <f>17/1000</f>
        <v>1.7000000000000001E-2</v>
      </c>
    </row>
    <row r="138" spans="1:4" x14ac:dyDescent="0.35">
      <c r="A138" s="112" t="s">
        <v>311</v>
      </c>
      <c r="B138" s="108" t="s">
        <v>472</v>
      </c>
      <c r="C138" s="161"/>
      <c r="D138" s="161"/>
    </row>
    <row r="139" spans="1:4" x14ac:dyDescent="0.35">
      <c r="A139" s="123" t="s">
        <v>516</v>
      </c>
      <c r="B139" s="108" t="s">
        <v>517</v>
      </c>
      <c r="C139" s="161"/>
      <c r="D139" s="161"/>
    </row>
    <row r="140" spans="1:4" x14ac:dyDescent="0.35">
      <c r="A140" s="111" t="s">
        <v>518</v>
      </c>
      <c r="B140" s="107" t="s">
        <v>495</v>
      </c>
      <c r="C140" s="161"/>
      <c r="D140" s="161"/>
    </row>
    <row r="141" spans="1:4" x14ac:dyDescent="0.35">
      <c r="A141" s="111" t="s">
        <v>447</v>
      </c>
      <c r="B141" s="107" t="s">
        <v>448</v>
      </c>
      <c r="C141" s="161"/>
      <c r="D141" s="161"/>
    </row>
    <row r="142" spans="1:4" x14ac:dyDescent="0.35">
      <c r="A142" s="111"/>
      <c r="B142" s="113" t="s">
        <v>519</v>
      </c>
      <c r="C142" s="161"/>
      <c r="D142" s="161"/>
    </row>
    <row r="143" spans="1:4" x14ac:dyDescent="0.35">
      <c r="A143" s="116" t="s">
        <v>185</v>
      </c>
      <c r="B143" s="115" t="s">
        <v>520</v>
      </c>
      <c r="C143" s="171">
        <f>D143*$C$62</f>
        <v>9.8140495867768605E-5</v>
      </c>
      <c r="D143" s="171">
        <f>2.5/1000</f>
        <v>2.5000000000000001E-3</v>
      </c>
    </row>
    <row r="144" spans="1:4" x14ac:dyDescent="0.35">
      <c r="A144" s="116" t="s">
        <v>193</v>
      </c>
      <c r="B144" s="115" t="s">
        <v>520</v>
      </c>
      <c r="C144" s="171">
        <f>D144*$C$62</f>
        <v>6.6735537190082648E-6</v>
      </c>
      <c r="D144" s="171">
        <f>0.17/1000</f>
        <v>1.7000000000000001E-4</v>
      </c>
    </row>
    <row r="145" spans="1:4" x14ac:dyDescent="0.35">
      <c r="A145" s="123" t="s">
        <v>311</v>
      </c>
      <c r="B145" s="108" t="s">
        <v>472</v>
      </c>
      <c r="C145" s="161"/>
      <c r="D145" s="161"/>
    </row>
    <row r="146" spans="1:4" x14ac:dyDescent="0.35">
      <c r="A146" s="116" t="s">
        <v>197</v>
      </c>
      <c r="B146" s="115"/>
      <c r="C146" s="171">
        <f>D146*$C$62</f>
        <v>1.2169421487603306E-5</v>
      </c>
      <c r="D146" s="171">
        <f>0.31/1000</f>
        <v>3.1E-4</v>
      </c>
    </row>
    <row r="147" spans="1:4" x14ac:dyDescent="0.35">
      <c r="A147" s="108"/>
      <c r="B147" s="108"/>
      <c r="C147" s="108"/>
      <c r="D147" s="161"/>
    </row>
    <row r="148" spans="1:4" x14ac:dyDescent="0.35">
      <c r="A148" s="160" t="s">
        <v>38</v>
      </c>
      <c r="B148" s="160"/>
      <c r="C148" s="108"/>
      <c r="D148" s="108"/>
    </row>
    <row r="149" spans="1:4" x14ac:dyDescent="0.35">
      <c r="A149" s="107" t="s">
        <v>368</v>
      </c>
      <c r="B149" s="108" t="s">
        <v>521</v>
      </c>
      <c r="C149" s="108"/>
      <c r="D149" s="108"/>
    </row>
    <row r="150" spans="1:4" x14ac:dyDescent="0.35">
      <c r="A150" s="108"/>
      <c r="B150" s="108" t="s">
        <v>522</v>
      </c>
      <c r="C150" s="108"/>
      <c r="D150" s="108"/>
    </row>
    <row r="151" spans="1:4" x14ac:dyDescent="0.35">
      <c r="A151" s="111" t="s">
        <v>284</v>
      </c>
      <c r="B151" s="108" t="s">
        <v>370</v>
      </c>
      <c r="C151" s="108"/>
      <c r="D151" s="108"/>
    </row>
    <row r="152" spans="1:4" x14ac:dyDescent="0.35">
      <c r="A152" s="111" t="s">
        <v>371</v>
      </c>
      <c r="B152" s="108" t="s">
        <v>372</v>
      </c>
      <c r="C152" s="108"/>
      <c r="D152" s="108"/>
    </row>
    <row r="153" spans="1:4" x14ac:dyDescent="0.35">
      <c r="A153" s="108"/>
      <c r="B153" s="108"/>
      <c r="C153" s="108"/>
      <c r="D153" s="108"/>
    </row>
    <row r="154" spans="1:4" x14ac:dyDescent="0.35">
      <c r="A154" s="127" t="s">
        <v>373</v>
      </c>
      <c r="B154" s="127"/>
      <c r="C154" s="108"/>
      <c r="D154" s="108"/>
    </row>
    <row r="155" spans="1:4" x14ac:dyDescent="0.35">
      <c r="A155" s="128" t="s">
        <v>374</v>
      </c>
      <c r="B155" s="128" t="s">
        <v>375</v>
      </c>
      <c r="C155" s="108"/>
      <c r="D155" s="108"/>
    </row>
    <row r="156" spans="1:4" x14ac:dyDescent="0.35">
      <c r="A156" s="128"/>
      <c r="B156" s="128" t="s">
        <v>376</v>
      </c>
      <c r="C156" s="108"/>
      <c r="D156" s="108"/>
    </row>
    <row r="157" spans="1:4" x14ac:dyDescent="0.35">
      <c r="A157" s="123" t="s">
        <v>377</v>
      </c>
      <c r="B157" s="108" t="s">
        <v>378</v>
      </c>
      <c r="C157" s="108"/>
      <c r="D157" s="108"/>
    </row>
    <row r="158" spans="1:4" x14ac:dyDescent="0.35">
      <c r="A158" s="123"/>
      <c r="B158" s="108"/>
      <c r="C158" s="108"/>
      <c r="D158" s="108"/>
    </row>
    <row r="159" spans="1:4" x14ac:dyDescent="0.35">
      <c r="A159" s="127" t="s">
        <v>40</v>
      </c>
      <c r="B159" s="127"/>
      <c r="C159" s="108"/>
      <c r="D159" s="108"/>
    </row>
    <row r="160" spans="1:4" x14ac:dyDescent="0.35">
      <c r="A160" s="108" t="s">
        <v>523</v>
      </c>
      <c r="B160" s="108" t="s">
        <v>524</v>
      </c>
      <c r="C160" s="108"/>
      <c r="D160" s="108"/>
    </row>
    <row r="161" spans="1:4" x14ac:dyDescent="0.35">
      <c r="A161" s="108"/>
      <c r="B161" s="108" t="s">
        <v>381</v>
      </c>
      <c r="C161" s="108"/>
      <c r="D161" s="108"/>
    </row>
    <row r="162" spans="1:4" x14ac:dyDescent="0.35">
      <c r="A162" s="108" t="s">
        <v>525</v>
      </c>
      <c r="B162" s="108" t="s">
        <v>526</v>
      </c>
      <c r="C162" s="108"/>
      <c r="D162" s="108"/>
    </row>
    <row r="163" spans="1:4" x14ac:dyDescent="0.35">
      <c r="A163" s="108"/>
      <c r="B163" s="108" t="s">
        <v>527</v>
      </c>
      <c r="C163" s="108"/>
      <c r="D163" s="108"/>
    </row>
    <row r="164" spans="1:4" x14ac:dyDescent="0.35">
      <c r="A164" s="108" t="s">
        <v>528</v>
      </c>
      <c r="B164" s="108" t="s">
        <v>529</v>
      </c>
      <c r="C164" s="108"/>
      <c r="D164" s="108"/>
    </row>
    <row r="165" spans="1:4" x14ac:dyDescent="0.35">
      <c r="A165" s="108"/>
      <c r="B165" s="108" t="s">
        <v>387</v>
      </c>
      <c r="C165" s="108"/>
      <c r="D165" s="108"/>
    </row>
  </sheetData>
  <mergeCells count="5">
    <mergeCell ref="A4:B4"/>
    <mergeCell ref="C4:D4"/>
    <mergeCell ref="A8:B8"/>
    <mergeCell ref="C8:D8"/>
    <mergeCell ref="A148:B148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W31"/>
  <sheetViews>
    <sheetView zoomScale="90" zoomScaleNormal="90" workbookViewId="0">
      <selection sqref="A1:D1048576"/>
    </sheetView>
  </sheetViews>
  <sheetFormatPr defaultRowHeight="14.5" x14ac:dyDescent="0.35"/>
  <cols>
    <col min="5" max="5" width="16.1796875" style="135" customWidth="1"/>
    <col min="7" max="7" width="12.54296875" customWidth="1"/>
    <col min="11" max="11" width="9.90625" customWidth="1"/>
    <col min="15" max="15" width="13.1796875" customWidth="1"/>
    <col min="18" max="18" width="17.453125" customWidth="1"/>
    <col min="21" max="21" width="10.90625" customWidth="1"/>
  </cols>
  <sheetData>
    <row r="1" spans="5:23" ht="21" x14ac:dyDescent="0.35">
      <c r="E1" s="146" t="s">
        <v>61</v>
      </c>
    </row>
    <row r="2" spans="5:23" s="147" customFormat="1" ht="72.5" x14ac:dyDescent="0.35">
      <c r="E2" s="151" t="s">
        <v>202</v>
      </c>
      <c r="F2" s="148"/>
      <c r="G2" s="148"/>
      <c r="H2" s="148" t="s">
        <v>70</v>
      </c>
      <c r="I2" s="149" t="s">
        <v>8</v>
      </c>
      <c r="J2" s="149" t="s">
        <v>48</v>
      </c>
      <c r="K2" s="149" t="s">
        <v>57</v>
      </c>
      <c r="L2" s="149" t="s">
        <v>49</v>
      </c>
      <c r="M2" s="149" t="s">
        <v>11</v>
      </c>
      <c r="N2" s="149" t="s">
        <v>12</v>
      </c>
      <c r="O2" s="149" t="s">
        <v>53</v>
      </c>
      <c r="P2" s="149" t="s">
        <v>14</v>
      </c>
      <c r="Q2" s="149" t="s">
        <v>54</v>
      </c>
      <c r="R2" s="149" t="s">
        <v>58</v>
      </c>
      <c r="S2" s="149" t="s">
        <v>62</v>
      </c>
      <c r="T2" s="149" t="s">
        <v>17</v>
      </c>
      <c r="U2" s="149" t="s">
        <v>18</v>
      </c>
    </row>
    <row r="3" spans="5:23" x14ac:dyDescent="0.35">
      <c r="E3" s="152" t="s">
        <v>76</v>
      </c>
      <c r="F3" s="2"/>
      <c r="G3" s="2" t="s">
        <v>7</v>
      </c>
      <c r="H3" s="18">
        <v>0.65357377533806604</v>
      </c>
      <c r="I3" s="18">
        <v>2.0216622446784901E-2</v>
      </c>
      <c r="J3" s="18">
        <v>1.2056494477815901E-2</v>
      </c>
      <c r="K3" s="18">
        <v>6.5601279606641597E-2</v>
      </c>
      <c r="L3" s="18">
        <v>0.102690701920505</v>
      </c>
      <c r="M3" s="18">
        <v>3.8574064619347499E-3</v>
      </c>
      <c r="N3" s="18">
        <v>7.9818520035824306E-3</v>
      </c>
      <c r="O3" s="18">
        <v>5.4597183066989801E-3</v>
      </c>
      <c r="P3" s="18">
        <v>0</v>
      </c>
      <c r="Q3" s="18">
        <v>0</v>
      </c>
      <c r="R3" s="18">
        <v>0.43086458008439399</v>
      </c>
      <c r="S3" s="18">
        <v>0</v>
      </c>
      <c r="T3" s="18">
        <v>8.7301835263782696E-4</v>
      </c>
      <c r="U3" s="18">
        <v>3.9721016770698598E-3</v>
      </c>
      <c r="V3" s="4"/>
      <c r="W3" s="4"/>
    </row>
    <row r="4" spans="5:23" x14ac:dyDescent="0.35">
      <c r="E4" s="136" t="s">
        <v>21</v>
      </c>
      <c r="G4" t="s">
        <v>22</v>
      </c>
      <c r="H4" s="4">
        <v>7.5318147777166198</v>
      </c>
      <c r="I4" s="4">
        <v>0.545913079859773</v>
      </c>
      <c r="J4" s="4">
        <v>0.31433734408130798</v>
      </c>
      <c r="K4" s="17">
        <v>2.5409138849365198</v>
      </c>
      <c r="L4" s="17">
        <v>3.2429370146173202</v>
      </c>
      <c r="M4" s="4">
        <v>0.13850097458150701</v>
      </c>
      <c r="N4" s="4">
        <v>0.28527410572189099</v>
      </c>
      <c r="O4" s="4">
        <v>0.196525122400416</v>
      </c>
      <c r="P4" s="4">
        <v>0</v>
      </c>
      <c r="Q4" s="4">
        <v>0</v>
      </c>
      <c r="R4" s="4">
        <v>0.2632433313427</v>
      </c>
      <c r="S4" s="4">
        <v>0</v>
      </c>
      <c r="T4" s="4">
        <v>2.6097175356981999E-3</v>
      </c>
      <c r="U4" s="4">
        <v>1.5602026394843701E-3</v>
      </c>
      <c r="V4" s="4"/>
      <c r="W4" s="4"/>
    </row>
    <row r="5" spans="5:23" x14ac:dyDescent="0.35">
      <c r="E5" s="136" t="s">
        <v>24</v>
      </c>
      <c r="F5" s="2"/>
      <c r="G5" s="2" t="s">
        <v>22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5:23" x14ac:dyDescent="0.35">
      <c r="E6" s="135" t="s">
        <v>25</v>
      </c>
      <c r="H6" s="4">
        <v>2.36862040218806E-2</v>
      </c>
      <c r="I6" s="17">
        <v>1.00573660600613E-3</v>
      </c>
      <c r="J6" s="4">
        <v>6.9667715710424003E-4</v>
      </c>
      <c r="K6" s="17">
        <v>3.9971459612802296E-3</v>
      </c>
      <c r="L6" s="17">
        <v>6.6338098454542197E-3</v>
      </c>
      <c r="M6" s="4">
        <v>2.1113171770756599E-4</v>
      </c>
      <c r="N6" s="4">
        <v>4.3687677060975298E-4</v>
      </c>
      <c r="O6" s="4">
        <v>2.98833886816345E-4</v>
      </c>
      <c r="P6" s="4">
        <v>4.9549756793818303E-5</v>
      </c>
      <c r="Q6" s="4">
        <v>2.0782E-4</v>
      </c>
      <c r="R6" s="17">
        <v>9.8882651377400002E-3</v>
      </c>
      <c r="S6" s="4">
        <v>0</v>
      </c>
      <c r="T6" s="4">
        <v>8.6328999539367508E-6</v>
      </c>
      <c r="U6" s="4">
        <v>2.5172428241436603E-4</v>
      </c>
      <c r="V6" s="4"/>
      <c r="W6" s="4"/>
    </row>
    <row r="7" spans="5:23" x14ac:dyDescent="0.35">
      <c r="E7" s="135" t="s">
        <v>26</v>
      </c>
      <c r="H7" s="4">
        <v>1.21950756574041E-8</v>
      </c>
      <c r="I7" s="4">
        <v>8.6564211776682995E-10</v>
      </c>
      <c r="J7" s="4">
        <v>6.7979076394117395E-10</v>
      </c>
      <c r="K7" s="4">
        <v>3.3531652664548302E-9</v>
      </c>
      <c r="L7" s="4">
        <v>4.8529900623220999E-9</v>
      </c>
      <c r="M7" s="4">
        <v>5.4332345911958602E-10</v>
      </c>
      <c r="N7" s="4">
        <v>1.1242519495941901E-9</v>
      </c>
      <c r="O7" s="4">
        <v>7.6901528644672502E-10</v>
      </c>
      <c r="P7" s="4">
        <v>0</v>
      </c>
      <c r="Q7" s="4">
        <v>0</v>
      </c>
      <c r="R7" s="4">
        <v>0</v>
      </c>
      <c r="S7" s="4">
        <v>0</v>
      </c>
      <c r="T7" s="4">
        <v>2.01433213834947E-12</v>
      </c>
      <c r="U7" s="4">
        <v>4.8824196202729103E-12</v>
      </c>
      <c r="V7" s="4"/>
      <c r="W7" s="4"/>
    </row>
    <row r="8" spans="5:23" x14ac:dyDescent="0.35">
      <c r="E8" s="135" t="s">
        <v>27</v>
      </c>
      <c r="H8" s="4">
        <v>5.3859969410848503E-3</v>
      </c>
      <c r="I8" s="4">
        <v>2.7356742723897399E-5</v>
      </c>
      <c r="J8" s="4">
        <v>1.6757794648724998E-5</v>
      </c>
      <c r="K8" s="4">
        <v>1.4276808272040901E-4</v>
      </c>
      <c r="L8" s="4">
        <v>2.64613026563402E-3</v>
      </c>
      <c r="M8" s="4">
        <v>7.9469000157115295E-4</v>
      </c>
      <c r="N8" s="4">
        <v>2.3789868536739801E-5</v>
      </c>
      <c r="O8" s="4">
        <v>1.73169986900126E-3</v>
      </c>
      <c r="P8" s="4">
        <v>2.6078819365167601E-6</v>
      </c>
      <c r="Q8" s="4">
        <v>0</v>
      </c>
      <c r="R8" s="4">
        <v>0</v>
      </c>
      <c r="S8" s="4">
        <v>0</v>
      </c>
      <c r="T8" s="4">
        <v>5.6941866721919601E-8</v>
      </c>
      <c r="U8" s="4">
        <v>1.3949244540137301E-7</v>
      </c>
      <c r="V8" s="4"/>
      <c r="W8" s="4"/>
    </row>
    <row r="9" spans="5:23" x14ac:dyDescent="0.35">
      <c r="E9" s="135" t="s">
        <v>28</v>
      </c>
      <c r="H9" s="4">
        <v>3.1828306974909099E-6</v>
      </c>
      <c r="I9" s="4">
        <v>1.97542101715091E-7</v>
      </c>
      <c r="J9" s="4">
        <v>1.3894217518357099E-7</v>
      </c>
      <c r="K9" s="4">
        <v>7.9098422863701599E-7</v>
      </c>
      <c r="L9" s="4">
        <v>1.2243015357779001E-6</v>
      </c>
      <c r="M9" s="4">
        <v>1.8116012019788299E-7</v>
      </c>
      <c r="N9" s="4">
        <v>3.7486100374035401E-7</v>
      </c>
      <c r="O9" s="4">
        <v>2.5641165567134098E-7</v>
      </c>
      <c r="P9" s="4">
        <v>0</v>
      </c>
      <c r="Q9" s="4">
        <v>0</v>
      </c>
      <c r="R9" s="4">
        <v>0</v>
      </c>
      <c r="S9" s="4">
        <v>0</v>
      </c>
      <c r="T9" s="4">
        <v>9.8167991696025402E-9</v>
      </c>
      <c r="U9" s="4">
        <v>8.8110773981559598E-9</v>
      </c>
      <c r="V9" s="4"/>
      <c r="W9" s="4"/>
    </row>
    <row r="10" spans="5:23" x14ac:dyDescent="0.35">
      <c r="E10" s="135" t="s">
        <v>29</v>
      </c>
      <c r="H10" s="4">
        <v>1.31166519229576E-11</v>
      </c>
      <c r="I10" s="4">
        <v>9.6265137180085892E-13</v>
      </c>
      <c r="J10" s="4">
        <v>9.6348085283017901E-13</v>
      </c>
      <c r="K10" s="4">
        <v>2.3051804545465598E-12</v>
      </c>
      <c r="L10" s="4">
        <v>4.3946820847300403E-12</v>
      </c>
      <c r="M10" s="4">
        <v>9.970281217496089E-13</v>
      </c>
      <c r="N10" s="4">
        <v>2.0630632290597E-12</v>
      </c>
      <c r="O10" s="4">
        <v>1.4111850198501499E-12</v>
      </c>
      <c r="P10" s="4">
        <v>0</v>
      </c>
      <c r="Q10" s="4">
        <v>0</v>
      </c>
      <c r="R10" s="4">
        <v>0</v>
      </c>
      <c r="S10" s="4">
        <v>0</v>
      </c>
      <c r="T10" s="4">
        <v>1.96016044875102E-15</v>
      </c>
      <c r="U10" s="4">
        <v>1.74206279417283E-14</v>
      </c>
      <c r="V10" s="4"/>
      <c r="W10" s="4"/>
    </row>
    <row r="11" spans="5:23" x14ac:dyDescent="0.35">
      <c r="E11" s="136" t="s">
        <v>30</v>
      </c>
      <c r="F11" s="2"/>
      <c r="G11" s="2" t="s">
        <v>22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5:23" x14ac:dyDescent="0.35">
      <c r="E12" s="135" t="s">
        <v>31</v>
      </c>
      <c r="H12" s="4">
        <v>1.2427339693287899E-7</v>
      </c>
      <c r="I12" s="4">
        <v>1.07351955076766E-7</v>
      </c>
      <c r="J12" s="4">
        <v>1.14672957185991E-12</v>
      </c>
      <c r="K12" s="4">
        <v>3.5484795595403601E-16</v>
      </c>
      <c r="L12" s="4">
        <v>2.9174689851139401E-12</v>
      </c>
      <c r="M12" s="4">
        <v>5.2639295568097996E-16</v>
      </c>
      <c r="N12" s="4">
        <v>1.08921886956037E-15</v>
      </c>
      <c r="O12" s="4">
        <v>7.45052097886075E-16</v>
      </c>
      <c r="P12" s="4">
        <v>0</v>
      </c>
      <c r="Q12" s="4">
        <v>0</v>
      </c>
      <c r="R12" s="4">
        <v>1.69173749367089E-8</v>
      </c>
      <c r="S12" s="4">
        <v>0</v>
      </c>
      <c r="T12" s="4">
        <v>9.9134612461924104E-19</v>
      </c>
      <c r="U12" s="4">
        <v>4.3444037295084003E-18</v>
      </c>
      <c r="V12" s="4"/>
      <c r="W12" s="4"/>
    </row>
    <row r="13" spans="5:23" x14ac:dyDescent="0.35">
      <c r="E13" s="135" t="s">
        <v>64</v>
      </c>
      <c r="H13" s="4">
        <v>6.0615540749087804E-13</v>
      </c>
      <c r="I13" s="4">
        <v>6.0615540749087804E-13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/>
      <c r="W13" s="4"/>
    </row>
    <row r="14" spans="5:23" x14ac:dyDescent="0.35">
      <c r="E14" s="135" t="s">
        <v>32</v>
      </c>
      <c r="H14" s="4">
        <v>1.42542572736541E-3</v>
      </c>
      <c r="I14" s="4">
        <v>6.3468788674080805E-4</v>
      </c>
      <c r="J14" s="4">
        <v>7.9073783891871099E-4</v>
      </c>
      <c r="K14" s="4">
        <v>0</v>
      </c>
      <c r="L14" s="4">
        <v>1.7058895136887501E-12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/>
      <c r="W14" s="4"/>
    </row>
    <row r="15" spans="5:23" x14ac:dyDescent="0.35">
      <c r="E15" s="135" t="s">
        <v>33</v>
      </c>
      <c r="H15" s="4">
        <v>9.6714190420042008E-16</v>
      </c>
      <c r="I15" s="4">
        <v>4.4686915046613599E-16</v>
      </c>
      <c r="J15" s="4">
        <v>1.3204547410712601E-16</v>
      </c>
      <c r="K15" s="4">
        <v>0</v>
      </c>
      <c r="L15" s="4">
        <v>3.88227279627158E-16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/>
      <c r="W15" s="4"/>
    </row>
    <row r="16" spans="5:23" x14ac:dyDescent="0.35">
      <c r="E16" s="135" t="s">
        <v>60</v>
      </c>
      <c r="H16" s="4">
        <v>4.0529077404453098E-3</v>
      </c>
      <c r="I16" s="17">
        <v>2.9312182116616398E-3</v>
      </c>
      <c r="J16" s="17">
        <v>1.12168952878368E-3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/>
      <c r="W16" s="4"/>
    </row>
    <row r="17" spans="5:23" x14ac:dyDescent="0.35">
      <c r="E17" s="135" t="s">
        <v>34</v>
      </c>
      <c r="H17" s="4">
        <v>1.41452480269688E-2</v>
      </c>
      <c r="I17" s="4">
        <v>4.0806846490823099E-12</v>
      </c>
      <c r="J17" s="4">
        <v>1.2058025008163499E-12</v>
      </c>
      <c r="K17" s="4">
        <v>0</v>
      </c>
      <c r="L17" s="17">
        <v>1.4145248021682299E-2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/>
      <c r="W17" s="4"/>
    </row>
    <row r="18" spans="5:23" x14ac:dyDescent="0.35">
      <c r="E18" s="136" t="s">
        <v>74</v>
      </c>
      <c r="F18" s="2"/>
      <c r="G18" s="2" t="s">
        <v>22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5:23" x14ac:dyDescent="0.35">
      <c r="E19" s="135" t="s">
        <v>35</v>
      </c>
      <c r="H19" s="4">
        <v>4.0583999557907101E-5</v>
      </c>
      <c r="I19" s="4">
        <v>1.85246245054605E-6</v>
      </c>
      <c r="J19" s="4">
        <v>1.59034951747974E-6</v>
      </c>
      <c r="K19" s="4">
        <v>3.7347844664529602E-6</v>
      </c>
      <c r="L19" s="4">
        <v>6.24623403404601E-6</v>
      </c>
      <c r="M19" s="4">
        <v>4.9094154071424401E-6</v>
      </c>
      <c r="N19" s="4">
        <v>1.0158710934675699E-5</v>
      </c>
      <c r="O19" s="4">
        <v>6.9487119683143003E-6</v>
      </c>
      <c r="P19" s="4">
        <v>0</v>
      </c>
      <c r="Q19" s="4">
        <v>0</v>
      </c>
      <c r="R19" s="4">
        <v>4.2046480171755598E-6</v>
      </c>
      <c r="S19" s="4">
        <v>0</v>
      </c>
      <c r="T19" s="4">
        <v>6.7764315392251695E-8</v>
      </c>
      <c r="U19" s="4">
        <v>8.7091844668213595E-7</v>
      </c>
      <c r="V19" s="4"/>
      <c r="W19" s="4"/>
    </row>
    <row r="20" spans="5:23" x14ac:dyDescent="0.35">
      <c r="E20" s="153" t="s">
        <v>36</v>
      </c>
      <c r="F20" s="21"/>
      <c r="G20" s="21"/>
      <c r="H20" s="23">
        <v>2.3832912724532598E-2</v>
      </c>
      <c r="I20" s="24">
        <v>1.4248280935556701E-3</v>
      </c>
      <c r="J20" s="23">
        <v>8.9400228009522498E-4</v>
      </c>
      <c r="K20" s="23">
        <v>6.9302722394647001E-3</v>
      </c>
      <c r="L20" s="24">
        <v>1.01675191429589E-2</v>
      </c>
      <c r="M20" s="23">
        <v>9.7368556015641503E-4</v>
      </c>
      <c r="N20" s="24">
        <v>2.01477663367239E-3</v>
      </c>
      <c r="O20" s="24">
        <v>1.3781408679132199E-3</v>
      </c>
      <c r="P20" s="23">
        <v>0</v>
      </c>
      <c r="Q20" s="23">
        <v>0</v>
      </c>
      <c r="R20" s="23">
        <v>7.1782617603745602E-6</v>
      </c>
      <c r="S20" s="23">
        <v>0</v>
      </c>
      <c r="T20" s="23">
        <v>3.3069188174366201E-6</v>
      </c>
      <c r="U20" s="23">
        <v>3.92027261383109E-5</v>
      </c>
      <c r="V20" s="4"/>
      <c r="W20" s="4"/>
    </row>
    <row r="21" spans="5:23" x14ac:dyDescent="0.35"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5:23" x14ac:dyDescent="0.35"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5:23" x14ac:dyDescent="0.35">
      <c r="E23" s="136" t="s">
        <v>82</v>
      </c>
      <c r="F23" s="2"/>
      <c r="G23" s="2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"/>
    </row>
    <row r="24" spans="5:23" s="20" customFormat="1" ht="29" x14ac:dyDescent="0.35">
      <c r="E24" s="154"/>
      <c r="F24" s="28"/>
      <c r="G24" s="29" t="s">
        <v>41</v>
      </c>
      <c r="H24" s="28" t="s">
        <v>42</v>
      </c>
      <c r="I24" s="28" t="s">
        <v>43</v>
      </c>
      <c r="J24" s="30" t="s">
        <v>44</v>
      </c>
      <c r="K24" s="30" t="s">
        <v>45</v>
      </c>
      <c r="L24" s="30" t="s">
        <v>46</v>
      </c>
      <c r="M24" s="31" t="s">
        <v>47</v>
      </c>
      <c r="N24" s="31" t="s">
        <v>48</v>
      </c>
      <c r="O24" s="32" t="s">
        <v>49</v>
      </c>
      <c r="P24" s="28"/>
      <c r="Q24" s="30" t="s">
        <v>37</v>
      </c>
      <c r="R24" s="30" t="s">
        <v>38</v>
      </c>
      <c r="S24" s="30" t="s">
        <v>39</v>
      </c>
      <c r="T24" s="30" t="s">
        <v>40</v>
      </c>
      <c r="U24" s="33" t="s">
        <v>50</v>
      </c>
    </row>
    <row r="25" spans="5:23" x14ac:dyDescent="0.35">
      <c r="E25" s="135" t="s">
        <v>5</v>
      </c>
      <c r="G25">
        <v>0</v>
      </c>
      <c r="H25">
        <v>0</v>
      </c>
      <c r="I25" s="4">
        <f>R3</f>
        <v>0.43086458008439399</v>
      </c>
      <c r="J25" s="4">
        <v>0</v>
      </c>
      <c r="K25" s="4">
        <v>0</v>
      </c>
      <c r="L25" s="4">
        <v>0</v>
      </c>
      <c r="M25" s="4">
        <f>I3</f>
        <v>2.0216622446784901E-2</v>
      </c>
      <c r="N25" s="4">
        <f>J3</f>
        <v>1.2056494477815901E-2</v>
      </c>
      <c r="O25" s="4">
        <f>L3</f>
        <v>0.102690701920505</v>
      </c>
      <c r="Q25" s="4">
        <f>SUM(G25:O25)</f>
        <v>0.56582839892949988</v>
      </c>
      <c r="R25" s="8">
        <f>SUM(K3,U3)</f>
        <v>6.9573381283711461E-2</v>
      </c>
      <c r="S25" s="4">
        <f>T3+P3</f>
        <v>8.7301835263782696E-4</v>
      </c>
      <c r="T25" s="4">
        <f>SUM(M3:N3,O3)</f>
        <v>1.729897677221616E-2</v>
      </c>
      <c r="U25" s="4">
        <f>SUM(Q25:T25)</f>
        <v>0.65357377533806538</v>
      </c>
    </row>
    <row r="26" spans="5:23" x14ac:dyDescent="0.35">
      <c r="E26" s="135" t="s">
        <v>6</v>
      </c>
      <c r="G26">
        <v>0</v>
      </c>
      <c r="H26">
        <v>0</v>
      </c>
      <c r="I26" s="4">
        <f>R4</f>
        <v>0.2632433313427</v>
      </c>
      <c r="J26" s="4">
        <v>0</v>
      </c>
      <c r="K26" s="4">
        <v>0</v>
      </c>
      <c r="L26" s="4">
        <v>0</v>
      </c>
      <c r="M26" s="4">
        <f>I4</f>
        <v>0.545913079859773</v>
      </c>
      <c r="N26" s="4">
        <f>J4</f>
        <v>0.31433734408130798</v>
      </c>
      <c r="O26" s="4">
        <f>L4</f>
        <v>3.2429370146173202</v>
      </c>
      <c r="Q26" s="4">
        <f>SUM(G26:O26)</f>
        <v>4.3664307699011013</v>
      </c>
      <c r="R26" s="8">
        <f>SUM(K4,U4)</f>
        <v>2.5424740875760041</v>
      </c>
      <c r="S26" s="4">
        <f>T4+P4</f>
        <v>2.6097175356981999E-3</v>
      </c>
      <c r="T26" s="4">
        <f>SUM(M4:N4,O4)</f>
        <v>0.62030020270381403</v>
      </c>
      <c r="U26" s="4">
        <f t="shared" ref="U26:U30" si="0">SUM(Q26:T26)</f>
        <v>7.531814777716618</v>
      </c>
    </row>
    <row r="27" spans="5:23" x14ac:dyDescent="0.35">
      <c r="E27" s="135" t="s">
        <v>52</v>
      </c>
      <c r="G27">
        <v>0</v>
      </c>
      <c r="H27">
        <v>0</v>
      </c>
      <c r="I27" s="4">
        <f>SUM(R6:R10)</f>
        <v>9.8882651377400002E-3</v>
      </c>
      <c r="J27" s="4">
        <v>0</v>
      </c>
      <c r="K27" s="4">
        <v>0</v>
      </c>
      <c r="L27" s="4">
        <v>0</v>
      </c>
      <c r="M27" s="4">
        <f>SUM(I6:I10)</f>
        <v>1.0332917574365115E-3</v>
      </c>
      <c r="N27" s="4">
        <f>SUM(J6:J10)</f>
        <v>7.1357457468239338E-4</v>
      </c>
      <c r="O27" s="4">
        <f>SUM(L6:L10)</f>
        <v>9.2811692700087624E-3</v>
      </c>
      <c r="Q27" s="4">
        <f>SUM(G27:O27)</f>
        <v>2.0916300739867666E-2</v>
      </c>
      <c r="R27" s="8">
        <f>SUM(K6:K10,U6:U10)</f>
        <v>4.3925809745367283E-3</v>
      </c>
      <c r="S27" s="4">
        <f>SUM(P6:P10,T6:T10)</f>
        <v>6.0857299366455633E-5</v>
      </c>
      <c r="T27" s="4">
        <f>SUM(SUM(M6:M10),SUM(N6:N10),SUM(O6:O10))</f>
        <v>3.497836988084398E-3</v>
      </c>
      <c r="U27" s="4">
        <f t="shared" si="0"/>
        <v>2.8867576001855251E-2</v>
      </c>
    </row>
    <row r="28" spans="5:23" x14ac:dyDescent="0.35">
      <c r="E28" s="135" t="s">
        <v>51</v>
      </c>
      <c r="G28">
        <v>0</v>
      </c>
      <c r="H28">
        <v>0</v>
      </c>
      <c r="I28" s="4">
        <f>SUM(R12:R17)</f>
        <v>1.69173749367089E-8</v>
      </c>
      <c r="J28" s="4">
        <v>0</v>
      </c>
      <c r="K28" s="4">
        <v>0</v>
      </c>
      <c r="L28" s="4">
        <v>0</v>
      </c>
      <c r="M28" s="4">
        <f>SUM(I12:I17)</f>
        <v>3.5660134550448115E-3</v>
      </c>
      <c r="N28" s="4">
        <f>SUM(J12:J17)</f>
        <v>1.9124273700550551E-3</v>
      </c>
      <c r="O28" s="4">
        <f>SUM(L12:L17)</f>
        <v>1.4145248026306047E-2</v>
      </c>
      <c r="Q28" s="4">
        <f>SUM(G28:O28)</f>
        <v>1.962370576878085E-2</v>
      </c>
      <c r="R28" s="8">
        <f>SUM(K12:K17,U12:U17)</f>
        <v>3.591923596835444E-16</v>
      </c>
      <c r="S28" s="4">
        <f>SUM(P12:P17,T12:T17)</f>
        <v>9.9134612461924104E-19</v>
      </c>
      <c r="T28" s="4">
        <f>SUM(M12:M17,N12:N17,P12:P17)</f>
        <v>1.6156118252413499E-15</v>
      </c>
      <c r="U28" s="4">
        <f t="shared" si="0"/>
        <v>1.9623705768782827E-2</v>
      </c>
    </row>
    <row r="29" spans="5:23" x14ac:dyDescent="0.35">
      <c r="E29" s="135" t="s">
        <v>75</v>
      </c>
      <c r="F29" s="130"/>
      <c r="G29" s="130">
        <v>0</v>
      </c>
      <c r="H29" s="130">
        <v>0</v>
      </c>
      <c r="I29" s="55">
        <f>SUM(R19:R20)</f>
        <v>1.138290977755012E-5</v>
      </c>
      <c r="J29" s="55">
        <v>0</v>
      </c>
      <c r="K29" s="55">
        <v>0</v>
      </c>
      <c r="L29" s="55">
        <v>0</v>
      </c>
      <c r="M29" s="55">
        <f>SUM(I19:I20)</f>
        <v>1.4266805560062162E-3</v>
      </c>
      <c r="N29" s="55">
        <f>SUM(J19:J20)</f>
        <v>8.955926296127047E-4</v>
      </c>
      <c r="O29" s="55">
        <f>SUM(L19:L20)</f>
        <v>1.0173765376992945E-2</v>
      </c>
      <c r="P29" s="130"/>
      <c r="Q29" s="55">
        <f>SUM(G29:O29)</f>
        <v>1.2507421472389417E-2</v>
      </c>
      <c r="R29" s="70">
        <f>SUM(U19:U20,K19:K20)</f>
        <v>6.9740806685161458E-3</v>
      </c>
      <c r="S29" s="55">
        <f>SUM(P19:P20,T19:T20)</f>
        <v>3.374683132828872E-6</v>
      </c>
      <c r="T29" s="55">
        <f>SUM(M19:N20,O19:O20)</f>
        <v>4.3886199000521577E-3</v>
      </c>
      <c r="U29" s="55">
        <f t="shared" si="0"/>
        <v>2.3873496724090549E-2</v>
      </c>
    </row>
    <row r="30" spans="5:23" ht="15" thickBot="1" x14ac:dyDescent="0.4">
      <c r="E30" s="155" t="s">
        <v>393</v>
      </c>
      <c r="F30" s="143"/>
      <c r="G30" s="143"/>
      <c r="H30" s="143"/>
      <c r="I30" s="144">
        <v>6.2657977925932497E-3</v>
      </c>
      <c r="J30" s="144"/>
      <c r="K30" s="144"/>
      <c r="L30" s="145"/>
      <c r="M30" s="144">
        <v>0.28444023100679</v>
      </c>
      <c r="N30" s="144">
        <v>5.6097064987463703E-2</v>
      </c>
      <c r="O30" s="144">
        <v>7.3211970888252403E-3</v>
      </c>
      <c r="P30" s="143"/>
      <c r="Q30" s="145">
        <f>SUM(G30:O30)</f>
        <v>0.35412429087567215</v>
      </c>
      <c r="R30" s="145">
        <v>6.3694415362092922E-3</v>
      </c>
      <c r="S30" s="145">
        <v>5.9560061658724503E-6</v>
      </c>
      <c r="T30" s="145">
        <v>8.7664161201889863E-3</v>
      </c>
      <c r="U30" s="145">
        <f t="shared" si="0"/>
        <v>0.36926610453823627</v>
      </c>
    </row>
    <row r="31" spans="5:23" ht="15" thickTop="1" x14ac:dyDescent="0.35"/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H24" sqref="H24"/>
    </sheetView>
  </sheetViews>
  <sheetFormatPr defaultRowHeight="14.5" x14ac:dyDescent="0.35"/>
  <cols>
    <col min="1" max="1" width="41.36328125" customWidth="1"/>
    <col min="2" max="2" width="11.90625" customWidth="1"/>
    <col min="3" max="3" width="10.453125" customWidth="1"/>
  </cols>
  <sheetData>
    <row r="1" spans="1:16" ht="145" x14ac:dyDescent="0.35">
      <c r="A1" s="45" t="s">
        <v>95</v>
      </c>
      <c r="B1" s="21" t="s">
        <v>96</v>
      </c>
      <c r="C1" s="46" t="s">
        <v>50</v>
      </c>
      <c r="D1" s="47" t="s">
        <v>8</v>
      </c>
      <c r="E1" s="47" t="s">
        <v>48</v>
      </c>
      <c r="F1" s="47" t="s">
        <v>49</v>
      </c>
      <c r="G1" s="47" t="s">
        <v>58</v>
      </c>
      <c r="H1" s="48" t="s">
        <v>57</v>
      </c>
      <c r="I1" s="48" t="s">
        <v>18</v>
      </c>
      <c r="J1" s="48" t="s">
        <v>54</v>
      </c>
      <c r="K1" s="49" t="s">
        <v>62</v>
      </c>
      <c r="L1" s="49" t="s">
        <v>17</v>
      </c>
      <c r="M1" s="49" t="s">
        <v>14</v>
      </c>
      <c r="N1" s="50" t="s">
        <v>11</v>
      </c>
      <c r="O1" s="50" t="s">
        <v>12</v>
      </c>
      <c r="P1" s="50" t="s">
        <v>53</v>
      </c>
    </row>
    <row r="2" spans="1:16" x14ac:dyDescent="0.35">
      <c r="A2" s="3" t="s">
        <v>97</v>
      </c>
      <c r="B2" s="51" t="s">
        <v>98</v>
      </c>
      <c r="C2" s="18">
        <v>3.5003630514509401E-2</v>
      </c>
      <c r="D2" s="18">
        <v>1.29386830823745E-3</v>
      </c>
      <c r="E2" s="18">
        <v>8.2383957937390295E-4</v>
      </c>
      <c r="F2" s="18">
        <v>6.9464318045551398E-3</v>
      </c>
      <c r="G2" s="18">
        <v>1.2277480413262499E-2</v>
      </c>
      <c r="H2" s="18">
        <v>4.1957642780609296E-3</v>
      </c>
      <c r="I2" s="18">
        <v>2.6887151172794301E-4</v>
      </c>
      <c r="J2" s="18">
        <v>2.0782E-4</v>
      </c>
      <c r="K2" s="18">
        <v>0</v>
      </c>
      <c r="L2" s="18">
        <v>1.01834426012673E-5</v>
      </c>
      <c r="M2" s="18">
        <v>4.9652488398654701E-5</v>
      </c>
      <c r="N2" s="18">
        <v>2.7004987590543801E-3</v>
      </c>
      <c r="O2" s="18">
        <v>5.02503860640666E-4</v>
      </c>
      <c r="P2" s="18">
        <v>5.7267160685966004E-3</v>
      </c>
    </row>
    <row r="3" spans="1:16" x14ac:dyDescent="0.35">
      <c r="A3" s="5" t="s">
        <v>99</v>
      </c>
      <c r="B3" s="52" t="s">
        <v>98</v>
      </c>
      <c r="C3" s="4">
        <v>1.2624656077935E-2</v>
      </c>
      <c r="D3" s="4">
        <v>-2.9378695750136002E-3</v>
      </c>
      <c r="E3" s="4">
        <v>-1.4727106446484799E-3</v>
      </c>
      <c r="F3" s="4">
        <v>-1.23696596194399E-2</v>
      </c>
      <c r="G3" s="4">
        <v>1.2277480413262499E-2</v>
      </c>
      <c r="H3" s="4">
        <v>4.1944983600629799E-3</v>
      </c>
      <c r="I3" s="4">
        <v>2.68838826425254E-4</v>
      </c>
      <c r="J3" s="4">
        <v>2.0782E-4</v>
      </c>
      <c r="K3" s="4">
        <v>0</v>
      </c>
      <c r="L3" s="4">
        <v>9.1181343143976504E-6</v>
      </c>
      <c r="M3" s="4">
        <v>5.2260370335171503E-5</v>
      </c>
      <c r="N3" s="4">
        <v>3.7868057578674401E-3</v>
      </c>
      <c r="O3" s="4">
        <v>5.0173097518887598E-4</v>
      </c>
      <c r="P3" s="4">
        <v>8.1063430795804102E-3</v>
      </c>
    </row>
    <row r="4" spans="1:16" x14ac:dyDescent="0.35">
      <c r="A4" s="3" t="s">
        <v>100</v>
      </c>
      <c r="B4" s="2" t="s">
        <v>101</v>
      </c>
      <c r="C4" s="18">
        <v>1.2321853396821099E-9</v>
      </c>
      <c r="D4" s="18">
        <v>8.8938291087884497E-11</v>
      </c>
      <c r="E4" s="18">
        <v>7.0093669382942197E-11</v>
      </c>
      <c r="F4" s="18">
        <v>8.3887580306545402E-10</v>
      </c>
      <c r="G4" s="18">
        <v>1.5663852679693899E-13</v>
      </c>
      <c r="H4" s="18">
        <v>1.7392359751808199E-10</v>
      </c>
      <c r="I4" s="18">
        <v>5.0368641508420702E-11</v>
      </c>
      <c r="J4" s="18">
        <v>0</v>
      </c>
      <c r="K4" s="18">
        <v>0</v>
      </c>
      <c r="L4" s="18">
        <v>9.1109727324647209E-13</v>
      </c>
      <c r="M4" s="18">
        <v>1.29936349836055E-17</v>
      </c>
      <c r="N4" s="18">
        <v>1.52917462805234E-12</v>
      </c>
      <c r="O4" s="18">
        <v>5.60502465547335E-12</v>
      </c>
      <c r="P4" s="18">
        <v>1.7833890421226801E-12</v>
      </c>
    </row>
    <row r="5" spans="1:16" x14ac:dyDescent="0.35">
      <c r="A5" s="5" t="s">
        <v>102</v>
      </c>
      <c r="B5" t="s">
        <v>101</v>
      </c>
      <c r="C5" s="4">
        <v>7.2208587862618399E-10</v>
      </c>
      <c r="D5" s="4">
        <v>3.5737756956348001E-11</v>
      </c>
      <c r="E5" s="4">
        <v>2.23183547233886E-11</v>
      </c>
      <c r="F5" s="4">
        <v>2.3819027361756599E-10</v>
      </c>
      <c r="G5" s="4">
        <v>2.1741167868662999E-11</v>
      </c>
      <c r="H5" s="4">
        <v>6.44715740018959E-11</v>
      </c>
      <c r="I5" s="4">
        <v>1.1960763965935299E-12</v>
      </c>
      <c r="J5" s="4">
        <v>0</v>
      </c>
      <c r="K5" s="4">
        <v>0</v>
      </c>
      <c r="L5" s="4">
        <v>2.16040396130677E-12</v>
      </c>
      <c r="M5" s="4">
        <v>3.2902162428865698E-18</v>
      </c>
      <c r="N5" s="4">
        <v>7.4772664796060195E-11</v>
      </c>
      <c r="O5" s="4">
        <v>1.5579764979669001E-10</v>
      </c>
      <c r="P5" s="4">
        <v>1.05699953217455E-10</v>
      </c>
    </row>
    <row r="6" spans="1:16" x14ac:dyDescent="0.35">
      <c r="A6" s="3" t="s">
        <v>103</v>
      </c>
      <c r="B6" s="2" t="s">
        <v>104</v>
      </c>
      <c r="C6" s="18">
        <v>8.2307295827954499E-3</v>
      </c>
      <c r="D6" s="18">
        <v>2.0094952863883501E-3</v>
      </c>
      <c r="E6" s="18">
        <v>9.0294531297738202E-4</v>
      </c>
      <c r="F6" s="18">
        <v>2.5482719380956098E-3</v>
      </c>
      <c r="G6" s="18">
        <v>2.4023835897697801E-4</v>
      </c>
      <c r="H6" s="18">
        <v>1.84474161234673E-3</v>
      </c>
      <c r="I6" s="18">
        <v>5.0903631488856697E-4</v>
      </c>
      <c r="J6" s="18">
        <v>0</v>
      </c>
      <c r="K6" s="18">
        <v>0</v>
      </c>
      <c r="L6" s="18">
        <v>1.6277610412926301E-5</v>
      </c>
      <c r="M6" s="18">
        <v>2.7996722258973702E-12</v>
      </c>
      <c r="N6" s="18">
        <v>2.3977341994828999E-5</v>
      </c>
      <c r="O6" s="18">
        <v>1.0960351608155701E-4</v>
      </c>
      <c r="P6" s="18">
        <v>2.6142287832849099E-5</v>
      </c>
    </row>
    <row r="7" spans="1:16" x14ac:dyDescent="0.35">
      <c r="A7" s="5" t="s">
        <v>105</v>
      </c>
      <c r="B7" t="s">
        <v>106</v>
      </c>
      <c r="C7" s="4">
        <v>1.1058764920261E-4</v>
      </c>
      <c r="D7" s="4">
        <v>5.1529624576525103E-6</v>
      </c>
      <c r="E7" s="4">
        <v>3.45869284020453E-6</v>
      </c>
      <c r="F7" s="4">
        <v>2.65634817194355E-5</v>
      </c>
      <c r="G7" s="4">
        <v>5.5032800165521899E-5</v>
      </c>
      <c r="H7" s="4">
        <v>1.44062473930044E-5</v>
      </c>
      <c r="I7" s="4">
        <v>1.9135431155035201E-7</v>
      </c>
      <c r="J7" s="4">
        <v>2.09665755754097E-7</v>
      </c>
      <c r="K7" s="4">
        <v>0</v>
      </c>
      <c r="L7" s="4">
        <v>5.8454474923304202E-8</v>
      </c>
      <c r="M7" s="4">
        <v>3.0149723255289002E-7</v>
      </c>
      <c r="N7" s="4">
        <v>1.3062035239856201E-6</v>
      </c>
      <c r="O7" s="4">
        <v>1.67114744830557E-6</v>
      </c>
      <c r="P7" s="4">
        <v>2.2351418797192199E-6</v>
      </c>
    </row>
    <row r="8" spans="1:16" x14ac:dyDescent="0.35">
      <c r="A8" s="3" t="s">
        <v>107</v>
      </c>
      <c r="B8" s="2" t="s">
        <v>108</v>
      </c>
      <c r="C8" s="18">
        <v>7.0809512738031795E-7</v>
      </c>
      <c r="D8" s="18">
        <v>5.02559046912243E-8</v>
      </c>
      <c r="E8" s="18">
        <v>1.0747149284460701E-8</v>
      </c>
      <c r="F8" s="18">
        <v>4.5957437673566902E-8</v>
      </c>
      <c r="G8" s="18">
        <v>3.0341322E-9</v>
      </c>
      <c r="H8" s="18">
        <v>1.8214326824214701E-9</v>
      </c>
      <c r="I8" s="18">
        <v>2.71718772622304E-11</v>
      </c>
      <c r="J8" s="18">
        <v>1.2224700000000001E-8</v>
      </c>
      <c r="K8" s="18">
        <v>0</v>
      </c>
      <c r="L8" s="18">
        <v>4.3707468343474299E-10</v>
      </c>
      <c r="M8" s="18">
        <v>0</v>
      </c>
      <c r="N8" s="18">
        <v>1.17558969817138E-7</v>
      </c>
      <c r="O8" s="18">
        <v>4.0219673811515203E-7</v>
      </c>
      <c r="P8" s="18">
        <v>6.3834416355657794E-8</v>
      </c>
    </row>
    <row r="9" spans="1:16" x14ac:dyDescent="0.35">
      <c r="A9" s="53" t="s">
        <v>109</v>
      </c>
      <c r="B9" s="54" t="s">
        <v>110</v>
      </c>
      <c r="C9" s="23">
        <v>4.7152364881780397E-8</v>
      </c>
      <c r="D9" s="23">
        <v>2.47429492895556E-9</v>
      </c>
      <c r="E9" s="23">
        <v>6.8066324480841302E-9</v>
      </c>
      <c r="F9" s="23">
        <v>9.1002792722060698E-9</v>
      </c>
      <c r="G9" s="23">
        <v>2.0766378999306499E-8</v>
      </c>
      <c r="H9" s="23">
        <v>7.0120847015117899E-9</v>
      </c>
      <c r="I9" s="23">
        <v>3.9741513571804199E-10</v>
      </c>
      <c r="J9" s="23">
        <v>0</v>
      </c>
      <c r="K9" s="23">
        <v>0</v>
      </c>
      <c r="L9" s="23">
        <v>3.7601126044117299E-11</v>
      </c>
      <c r="M9" s="23">
        <v>0</v>
      </c>
      <c r="N9" s="23">
        <v>1.2435384510032701E-10</v>
      </c>
      <c r="O9" s="23">
        <v>2.5731536864418299E-10</v>
      </c>
      <c r="P9" s="23">
        <v>1.7600905620964701E-10</v>
      </c>
    </row>
    <row r="10" spans="1:16" x14ac:dyDescent="0.35">
      <c r="A10" s="53"/>
      <c r="B10" s="54"/>
      <c r="C10" s="23"/>
      <c r="D10" s="23"/>
      <c r="E10" s="23"/>
      <c r="F10" s="23"/>
      <c r="G10" s="23"/>
      <c r="H10" s="55"/>
      <c r="I10" s="55"/>
      <c r="J10" s="55"/>
      <c r="K10" s="55"/>
      <c r="L10" s="55"/>
      <c r="M10" s="55"/>
      <c r="N10" s="55"/>
      <c r="O10" s="55"/>
      <c r="P10" s="55"/>
    </row>
    <row r="11" spans="1:16" x14ac:dyDescent="0.35">
      <c r="A11" s="35"/>
      <c r="B11" s="35"/>
      <c r="C11" s="35"/>
      <c r="D11" s="35"/>
      <c r="E11" s="35"/>
      <c r="F11" s="35"/>
      <c r="G11" s="35"/>
      <c r="J11" t="s">
        <v>111</v>
      </c>
    </row>
    <row r="12" spans="1:16" ht="72.5" x14ac:dyDescent="0.35">
      <c r="A12" s="61" t="s">
        <v>112</v>
      </c>
      <c r="B12" s="56"/>
      <c r="C12" s="57" t="s">
        <v>37</v>
      </c>
      <c r="D12" s="58" t="s">
        <v>66</v>
      </c>
      <c r="E12" s="59" t="s">
        <v>69</v>
      </c>
      <c r="F12" s="60" t="s">
        <v>40</v>
      </c>
      <c r="G12" s="61" t="s">
        <v>50</v>
      </c>
      <c r="I12" s="11" t="s">
        <v>93</v>
      </c>
      <c r="J12" s="57" t="s">
        <v>37</v>
      </c>
      <c r="K12" s="58" t="s">
        <v>66</v>
      </c>
      <c r="L12" s="59" t="s">
        <v>69</v>
      </c>
      <c r="M12" s="60" t="s">
        <v>40</v>
      </c>
      <c r="N12" s="61" t="s">
        <v>50</v>
      </c>
    </row>
    <row r="13" spans="1:16" x14ac:dyDescent="0.35">
      <c r="A13" t="s">
        <v>92</v>
      </c>
      <c r="B13" s="44" t="s">
        <v>98</v>
      </c>
      <c r="C13" s="4">
        <f t="shared" ref="C13:C20" si="0">SUM(D2:G2)*240</f>
        <v>5.1219888253029575</v>
      </c>
      <c r="D13" s="4">
        <f t="shared" ref="D13:D20" si="1">SUM(H2:J2)*240</f>
        <v>1.1213893895493294</v>
      </c>
      <c r="E13" s="4">
        <f t="shared" ref="E13:E20" si="2">SUM(K2:M2)*240</f>
        <v>1.436062343998128E-2</v>
      </c>
      <c r="F13" s="4">
        <f t="shared" ref="F13:F20" si="3">SUM(N2:P2)*240</f>
        <v>2.1431324851899949</v>
      </c>
      <c r="G13" s="4">
        <f>SUM(C13:F13)</f>
        <v>8.4008713234822636</v>
      </c>
      <c r="I13" s="44">
        <v>9220</v>
      </c>
      <c r="J13" s="4">
        <f>C13/$I13</f>
        <v>5.5553024135606918E-4</v>
      </c>
      <c r="K13" s="4">
        <f t="shared" ref="K13:N20" si="4">D13/$I13</f>
        <v>1.2162574723962359E-4</v>
      </c>
      <c r="L13" s="4">
        <f t="shared" si="4"/>
        <v>1.5575513492387506E-6</v>
      </c>
      <c r="M13" s="4">
        <f t="shared" si="4"/>
        <v>2.3244387041106236E-4</v>
      </c>
      <c r="N13" s="4">
        <f t="shared" si="4"/>
        <v>9.1115741035599387E-4</v>
      </c>
    </row>
    <row r="14" spans="1:16" x14ac:dyDescent="0.35">
      <c r="A14" t="s">
        <v>91</v>
      </c>
      <c r="B14" s="52" t="s">
        <v>98</v>
      </c>
      <c r="C14" s="4">
        <f t="shared" si="0"/>
        <v>-1.0806622622014757</v>
      </c>
      <c r="D14" s="4">
        <f t="shared" si="1"/>
        <v>1.1210777247571762</v>
      </c>
      <c r="E14" s="4">
        <f t="shared" si="2"/>
        <v>1.4730841115896598E-2</v>
      </c>
      <c r="F14" s="4">
        <f t="shared" si="3"/>
        <v>2.9747711550328142</v>
      </c>
      <c r="G14" s="4">
        <f t="shared" ref="G14:G20" si="5">SUM(C14:F14)</f>
        <v>3.0299174587044111</v>
      </c>
      <c r="I14" s="4">
        <f>I13</f>
        <v>9220</v>
      </c>
      <c r="J14" s="4">
        <f t="shared" ref="J14:J20" si="6">C14/$I14</f>
        <v>-1.1720848830818608E-4</v>
      </c>
      <c r="K14" s="4">
        <f t="shared" si="4"/>
        <v>1.2159194411683039E-4</v>
      </c>
      <c r="L14" s="4">
        <f t="shared" si="4"/>
        <v>1.5977051101840127E-6</v>
      </c>
      <c r="M14" s="4">
        <f t="shared" si="4"/>
        <v>3.2264329230290829E-4</v>
      </c>
      <c r="N14" s="4">
        <f t="shared" si="4"/>
        <v>3.2862445322173658E-4</v>
      </c>
    </row>
    <row r="15" spans="1:16" x14ac:dyDescent="0.35">
      <c r="A15" t="s">
        <v>90</v>
      </c>
      <c r="B15" s="52" t="s">
        <v>101</v>
      </c>
      <c r="C15" s="4">
        <f t="shared" si="0"/>
        <v>2.3953545649513864E-7</v>
      </c>
      <c r="D15" s="4">
        <f t="shared" si="1"/>
        <v>5.3830137366360649E-8</v>
      </c>
      <c r="E15" s="4">
        <f t="shared" si="2"/>
        <v>2.1866646405154936E-10</v>
      </c>
      <c r="F15" s="4">
        <f t="shared" si="3"/>
        <v>2.1402211981556088E-9</v>
      </c>
      <c r="G15" s="4">
        <f t="shared" si="5"/>
        <v>2.957244815237065E-7</v>
      </c>
      <c r="I15" s="4">
        <v>3.6900000000000002E-5</v>
      </c>
      <c r="J15" s="4">
        <f t="shared" si="6"/>
        <v>6.4914757857761143E-3</v>
      </c>
      <c r="K15" s="4">
        <f t="shared" si="4"/>
        <v>1.4588113107414809E-3</v>
      </c>
      <c r="L15" s="4">
        <f t="shared" si="4"/>
        <v>5.9259204350013375E-6</v>
      </c>
      <c r="M15" s="4">
        <f t="shared" si="4"/>
        <v>5.8000574475761754E-5</v>
      </c>
      <c r="N15" s="4">
        <f t="shared" si="4"/>
        <v>8.0142135914283603E-3</v>
      </c>
    </row>
    <row r="16" spans="1:16" x14ac:dyDescent="0.35">
      <c r="A16" t="s">
        <v>89</v>
      </c>
      <c r="B16" s="52" t="s">
        <v>101</v>
      </c>
      <c r="C16" s="4">
        <f t="shared" si="0"/>
        <v>7.6317012759831737E-8</v>
      </c>
      <c r="D16" s="4">
        <f t="shared" si="1"/>
        <v>1.5760236095637464E-8</v>
      </c>
      <c r="E16" s="4">
        <f t="shared" si="2"/>
        <v>5.1849774036552313E-10</v>
      </c>
      <c r="F16" s="4">
        <f t="shared" si="3"/>
        <v>8.0704864274449253E-8</v>
      </c>
      <c r="G16" s="4">
        <f t="shared" si="5"/>
        <v>1.7330061087028399E-7</v>
      </c>
      <c r="I16" s="4">
        <v>5.3300000000000005E-4</v>
      </c>
      <c r="J16" s="4">
        <f t="shared" si="6"/>
        <v>1.4318388885521902E-4</v>
      </c>
      <c r="K16" s="4">
        <f t="shared" si="4"/>
        <v>2.9568923256355464E-5</v>
      </c>
      <c r="L16" s="4">
        <f t="shared" si="4"/>
        <v>9.727912577214317E-7</v>
      </c>
      <c r="M16" s="4">
        <f t="shared" si="4"/>
        <v>1.5141625567438883E-4</v>
      </c>
      <c r="N16" s="4">
        <f t="shared" si="4"/>
        <v>3.2514185904368475E-4</v>
      </c>
    </row>
    <row r="17" spans="1:14" x14ac:dyDescent="0.35">
      <c r="A17" t="s">
        <v>88</v>
      </c>
      <c r="B17" s="52" t="s">
        <v>104</v>
      </c>
      <c r="C17" s="4">
        <f t="shared" si="0"/>
        <v>1.3682282151451968</v>
      </c>
      <c r="D17" s="4">
        <f t="shared" si="1"/>
        <v>0.56490670253647124</v>
      </c>
      <c r="E17" s="4">
        <f t="shared" si="2"/>
        <v>3.9066271710236468E-3</v>
      </c>
      <c r="F17" s="4">
        <f t="shared" si="3"/>
        <v>3.833355501821642E-2</v>
      </c>
      <c r="G17" s="4">
        <f t="shared" si="5"/>
        <v>1.9753750998709081</v>
      </c>
      <c r="I17" s="4">
        <v>8740</v>
      </c>
      <c r="J17" s="4">
        <f t="shared" si="6"/>
        <v>1.5654785070311176E-4</v>
      </c>
      <c r="K17" s="4">
        <f t="shared" si="4"/>
        <v>6.4634634157490983E-5</v>
      </c>
      <c r="L17" s="4">
        <f t="shared" si="4"/>
        <v>4.4698251384709918E-7</v>
      </c>
      <c r="M17" s="4">
        <f t="shared" si="4"/>
        <v>4.3859902766838011E-6</v>
      </c>
      <c r="N17" s="4">
        <f t="shared" si="4"/>
        <v>2.2601545765113366E-4</v>
      </c>
    </row>
    <row r="18" spans="1:14" x14ac:dyDescent="0.35">
      <c r="A18" t="s">
        <v>87</v>
      </c>
      <c r="B18" s="52" t="s">
        <v>106</v>
      </c>
      <c r="C18" s="4">
        <f t="shared" si="0"/>
        <v>2.1649904923875467E-2</v>
      </c>
      <c r="D18" s="4">
        <f t="shared" si="1"/>
        <v>3.5537441904741236E-3</v>
      </c>
      <c r="E18" s="4">
        <f t="shared" si="2"/>
        <v>8.6388409794286612E-5</v>
      </c>
      <c r="F18" s="4">
        <f t="shared" si="3"/>
        <v>1.2509982844824984E-3</v>
      </c>
      <c r="G18" s="4">
        <f t="shared" si="5"/>
        <v>2.6541035808626375E-2</v>
      </c>
      <c r="I18">
        <v>47.3</v>
      </c>
      <c r="J18" s="4">
        <f t="shared" si="6"/>
        <v>4.5771469183669065E-4</v>
      </c>
      <c r="K18" s="4">
        <f t="shared" si="4"/>
        <v>7.5132012483596701E-5</v>
      </c>
      <c r="L18" s="4">
        <f t="shared" si="4"/>
        <v>1.8263934417396747E-6</v>
      </c>
      <c r="M18" s="4">
        <f t="shared" si="4"/>
        <v>2.6448166690961915E-5</v>
      </c>
      <c r="N18" s="4">
        <f t="shared" si="4"/>
        <v>5.6112126445298895E-4</v>
      </c>
    </row>
    <row r="19" spans="1:14" x14ac:dyDescent="0.35">
      <c r="A19" t="s">
        <v>86</v>
      </c>
      <c r="B19" s="52" t="s">
        <v>108</v>
      </c>
      <c r="C19" s="4">
        <f t="shared" si="0"/>
        <v>2.6398709723820458E-5</v>
      </c>
      <c r="D19" s="4">
        <f t="shared" si="1"/>
        <v>3.3775930943240882E-6</v>
      </c>
      <c r="E19" s="4">
        <f t="shared" si="2"/>
        <v>1.0489792402433832E-7</v>
      </c>
      <c r="F19" s="4">
        <f t="shared" si="3"/>
        <v>1.4006162982910746E-4</v>
      </c>
      <c r="G19" s="4">
        <f t="shared" si="5"/>
        <v>1.6994283057127635E-4</v>
      </c>
      <c r="I19">
        <v>1.48</v>
      </c>
      <c r="J19" s="4">
        <f t="shared" si="6"/>
        <v>1.7836966029608419E-5</v>
      </c>
      <c r="K19" s="4">
        <f t="shared" si="4"/>
        <v>2.2821574961649244E-6</v>
      </c>
      <c r="L19" s="4">
        <f t="shared" si="4"/>
        <v>7.087697569212049E-8</v>
      </c>
      <c r="M19" s="4">
        <f t="shared" si="4"/>
        <v>9.4636236371018549E-5</v>
      </c>
      <c r="N19" s="4">
        <f t="shared" si="4"/>
        <v>1.1482623687248403E-4</v>
      </c>
    </row>
    <row r="20" spans="1:14" x14ac:dyDescent="0.35">
      <c r="A20" s="21" t="s">
        <v>85</v>
      </c>
      <c r="B20" s="62" t="s">
        <v>110</v>
      </c>
      <c r="C20" s="23">
        <f t="shared" si="0"/>
        <v>9.3954205556525423E-6</v>
      </c>
      <c r="D20" s="23">
        <f t="shared" si="1"/>
        <v>1.7782799609351597E-6</v>
      </c>
      <c r="E20" s="23">
        <f t="shared" si="2"/>
        <v>9.0242702505881515E-9</v>
      </c>
      <c r="F20" s="23">
        <f t="shared" si="3"/>
        <v>1.3384278478899769E-7</v>
      </c>
      <c r="G20" s="23">
        <f t="shared" si="5"/>
        <v>1.1316567571627288E-5</v>
      </c>
      <c r="I20" s="4">
        <v>0.10100000000000001</v>
      </c>
      <c r="J20" s="4">
        <f t="shared" si="6"/>
        <v>9.3023965897549924E-5</v>
      </c>
      <c r="K20" s="4">
        <f t="shared" si="4"/>
        <v>1.7606732286486729E-5</v>
      </c>
      <c r="L20" s="4">
        <f t="shared" si="4"/>
        <v>8.9349210401862879E-8</v>
      </c>
      <c r="M20" s="4">
        <f t="shared" si="4"/>
        <v>1.3251760870197791E-6</v>
      </c>
      <c r="N20" s="4">
        <f t="shared" si="4"/>
        <v>1.1204522348145829E-4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Functional unit</vt:lpstr>
      <vt:lpstr>normalization factors</vt:lpstr>
      <vt:lpstr>Tamp.-Assumptions</vt:lpstr>
      <vt:lpstr>Tamp-LCI</vt:lpstr>
      <vt:lpstr>Tamp-LCIA</vt:lpstr>
      <vt:lpstr>Pad -assumptions</vt:lpstr>
      <vt:lpstr>Pad-LCI</vt:lpstr>
      <vt:lpstr>Pad-LCIA</vt:lpstr>
      <vt:lpstr>Cup - assumptions</vt:lpstr>
      <vt:lpstr>Cup-LCI</vt:lpstr>
      <vt:lpstr>Cup-LCIA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Hait</dc:creator>
  <cp:lastModifiedBy>Susan E. Powers - spowers</cp:lastModifiedBy>
  <dcterms:created xsi:type="dcterms:W3CDTF">2017-01-22T02:57:59Z</dcterms:created>
  <dcterms:modified xsi:type="dcterms:W3CDTF">2019-07-02T13:17:51Z</dcterms:modified>
</cp:coreProperties>
</file>