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esearch\District_Cooling_Project\Results_Data\Final_Results_5_2019\"/>
    </mc:Choice>
  </mc:AlternateContent>
  <bookViews>
    <workbookView xWindow="0" yWindow="0" windowWidth="4080" windowHeight="10875" firstSheet="16" activeTab="19"/>
  </bookViews>
  <sheets>
    <sheet name="DC Annual Consumption " sheetId="10" r:id="rId1"/>
    <sheet name="DC Capital Cost " sheetId="11" r:id="rId2"/>
    <sheet name="VRF Capital &amp; Running Cost " sheetId="25" r:id="rId3"/>
    <sheet name="DX Capital &amp; Running Cost " sheetId="26" r:id="rId4"/>
    <sheet name="24 Years Cost of  DC " sheetId="21" r:id="rId5"/>
    <sheet name="Graph 24 Yers DC" sheetId="30" r:id="rId6"/>
    <sheet name="Graph 24 Years DC-1" sheetId="39" r:id="rId7"/>
    <sheet name="24 Years Cost of  VRF" sheetId="20" r:id="rId8"/>
    <sheet name="Graph 24 Yers VRF" sheetId="31" r:id="rId9"/>
    <sheet name="24 Years Cost of  DX" sheetId="24" r:id="rId10"/>
    <sheet name="Graph 24 Yers DX" sheetId="32" r:id="rId11"/>
    <sheet name="24Years Cost of 3 Alertinatives" sheetId="5" r:id="rId12"/>
    <sheet name="Graph 24 Yeas Total Cost " sheetId="23" r:id="rId13"/>
    <sheet name="Sheet1" sheetId="38" r:id="rId14"/>
    <sheet name="Graph Cost of  Power Station &amp; " sheetId="28" r:id="rId15"/>
    <sheet name="Graph Peak Electric Power Deman" sheetId="34" r:id="rId16"/>
    <sheet name="Graph Electrical Utility Cost" sheetId="29" r:id="rId17"/>
    <sheet name="Graph Annual CO2 Emission " sheetId="35" r:id="rId18"/>
    <sheet name="Graph  Accumalted Total Cost" sheetId="37" r:id="rId19"/>
    <sheet name="Cost comparison all systems" sheetId="40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4" l="1"/>
  <c r="D41" i="24"/>
  <c r="E41" i="24"/>
  <c r="F41" i="24"/>
  <c r="G41" i="24"/>
  <c r="H41" i="24"/>
  <c r="I41" i="24"/>
  <c r="B41" i="24"/>
  <c r="C41" i="20"/>
  <c r="D41" i="20"/>
  <c r="E41" i="20"/>
  <c r="F41" i="20"/>
  <c r="G41" i="20"/>
  <c r="H41" i="20"/>
  <c r="I41" i="20"/>
  <c r="B41" i="20"/>
  <c r="C41" i="21"/>
  <c r="D41" i="21"/>
  <c r="E41" i="21"/>
  <c r="F41" i="21"/>
  <c r="G41" i="21"/>
  <c r="H41" i="21"/>
  <c r="I41" i="21"/>
  <c r="B41" i="21"/>
  <c r="F10" i="26" l="1"/>
  <c r="E10" i="26"/>
  <c r="D10" i="26"/>
  <c r="D10" i="25"/>
  <c r="E10" i="25"/>
  <c r="B14" i="39" l="1"/>
  <c r="B15" i="39" s="1"/>
  <c r="N36" i="39"/>
  <c r="O36" i="39" s="1"/>
  <c r="N37" i="39"/>
  <c r="O37" i="39" s="1"/>
  <c r="N38" i="39"/>
  <c r="O38" i="39" s="1"/>
  <c r="N39" i="39"/>
  <c r="O39" i="39" s="1"/>
  <c r="B40" i="39"/>
  <c r="C40" i="39"/>
  <c r="C41" i="39" s="1"/>
  <c r="D40" i="39"/>
  <c r="D41" i="39" s="1"/>
  <c r="E40" i="39"/>
  <c r="F40" i="39"/>
  <c r="F41" i="39" s="1"/>
  <c r="G40" i="39"/>
  <c r="G41" i="39" s="1"/>
  <c r="H40" i="39"/>
  <c r="H41" i="39" s="1"/>
  <c r="I40" i="39"/>
  <c r="J40" i="39"/>
  <c r="K40" i="39"/>
  <c r="K41" i="39" s="1"/>
  <c r="L40" i="39"/>
  <c r="L41" i="39" s="1"/>
  <c r="M40" i="39"/>
  <c r="B41" i="39"/>
  <c r="E41" i="39"/>
  <c r="I41" i="39"/>
  <c r="J41" i="39"/>
  <c r="M41" i="39"/>
  <c r="N40" i="39" l="1"/>
  <c r="N41" i="39" l="1"/>
  <c r="O40" i="39"/>
  <c r="B21" i="11" l="1"/>
  <c r="D21" i="11" s="1"/>
  <c r="B20" i="11"/>
  <c r="D20" i="11" s="1"/>
  <c r="B19" i="11"/>
  <c r="D19" i="11" s="1"/>
  <c r="B18" i="11"/>
  <c r="D18" i="11" s="1"/>
  <c r="D22" i="11" l="1"/>
  <c r="C17" i="26"/>
  <c r="C4" i="24" s="1"/>
  <c r="E7" i="26"/>
  <c r="F7" i="26"/>
  <c r="C17" i="25"/>
  <c r="E7" i="25"/>
  <c r="C3" i="21"/>
  <c r="F3" i="21"/>
  <c r="F6" i="21" s="1"/>
  <c r="F5" i="21"/>
  <c r="C11" i="21" s="1"/>
  <c r="F9" i="21"/>
  <c r="D16" i="21" s="1"/>
  <c r="D19" i="21"/>
  <c r="D23" i="21"/>
  <c r="D27" i="21"/>
  <c r="D30" i="21"/>
  <c r="D34" i="21"/>
  <c r="D38" i="21"/>
  <c r="D37" i="21" l="1"/>
  <c r="D33" i="21"/>
  <c r="D29" i="21"/>
  <c r="D26" i="21"/>
  <c r="D22" i="21"/>
  <c r="D18" i="21"/>
  <c r="D40" i="21" s="1"/>
  <c r="F8" i="21"/>
  <c r="D36" i="21"/>
  <c r="D32" i="21"/>
  <c r="D25" i="21"/>
  <c r="D21" i="21"/>
  <c r="D17" i="21"/>
  <c r="F7" i="21"/>
  <c r="D39" i="21"/>
  <c r="D35" i="21"/>
  <c r="D31" i="21"/>
  <c r="D28" i="21"/>
  <c r="D24" i="21"/>
  <c r="D20" i="21"/>
  <c r="B18" i="21"/>
  <c r="B22" i="21"/>
  <c r="B26" i="21"/>
  <c r="B33" i="21"/>
  <c r="B34" i="21"/>
  <c r="B39" i="21"/>
  <c r="B30" i="21"/>
  <c r="B23" i="21"/>
  <c r="B27" i="21"/>
  <c r="B36" i="21"/>
  <c r="B17" i="21"/>
  <c r="B21" i="21"/>
  <c r="B25" i="21"/>
  <c r="B31" i="21"/>
  <c r="B32" i="21"/>
  <c r="B38" i="21"/>
  <c r="B20" i="21"/>
  <c r="B24" i="21"/>
  <c r="B29" i="21"/>
  <c r="B37" i="21"/>
  <c r="B19" i="21"/>
  <c r="B35" i="21"/>
  <c r="B16" i="21"/>
  <c r="B40" i="21" s="1"/>
  <c r="B28" i="21"/>
  <c r="C35" i="21"/>
  <c r="C36" i="21"/>
  <c r="C19" i="21"/>
  <c r="C30" i="21"/>
  <c r="C37" i="21"/>
  <c r="C18" i="21"/>
  <c r="C3" i="35"/>
  <c r="C4" i="35" s="1"/>
  <c r="B3" i="35"/>
  <c r="B4" i="35" s="1"/>
  <c r="A3" i="35"/>
  <c r="A4" i="35" s="1"/>
  <c r="B7" i="5" l="1"/>
  <c r="C16" i="21"/>
  <c r="C40" i="21" s="1"/>
  <c r="C29" i="21"/>
  <c r="C20" i="21"/>
  <c r="C39" i="21"/>
  <c r="C32" i="21"/>
  <c r="C21" i="21"/>
  <c r="C38" i="21"/>
  <c r="C33" i="21"/>
  <c r="C22" i="21"/>
  <c r="C26" i="21"/>
  <c r="C34" i="21"/>
  <c r="C23" i="21"/>
  <c r="C31" i="21"/>
  <c r="C24" i="21"/>
  <c r="C28" i="21"/>
  <c r="C17" i="21"/>
  <c r="C25" i="21"/>
  <c r="C27" i="21"/>
  <c r="C32" i="10"/>
  <c r="C31" i="10"/>
  <c r="C42" i="10" l="1"/>
  <c r="C40" i="10"/>
  <c r="D2" i="34" l="1"/>
  <c r="C2" i="34"/>
  <c r="B2" i="34"/>
  <c r="C5" i="30"/>
  <c r="B5" i="30"/>
  <c r="G4" i="24" l="1"/>
  <c r="E16" i="24" s="1"/>
  <c r="B10" i="26"/>
  <c r="I4" i="24"/>
  <c r="H4" i="24"/>
  <c r="E24" i="24" s="1"/>
  <c r="C4" i="20"/>
  <c r="G4" i="20"/>
  <c r="H4" i="20"/>
  <c r="E28" i="20" s="1"/>
  <c r="B10" i="25"/>
  <c r="E32" i="24" l="1"/>
  <c r="G11" i="20"/>
  <c r="E16" i="20"/>
  <c r="E40" i="20" s="1"/>
  <c r="I11" i="24"/>
  <c r="H11" i="24"/>
  <c r="G11" i="24"/>
  <c r="H11" i="20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1" i="24"/>
  <c r="F9" i="24"/>
  <c r="D37" i="24" s="1"/>
  <c r="F7" i="24"/>
  <c r="F6" i="24"/>
  <c r="F5" i="24"/>
  <c r="C11" i="24" s="1"/>
  <c r="E40" i="24" l="1"/>
  <c r="F40" i="24"/>
  <c r="D17" i="24"/>
  <c r="D25" i="24"/>
  <c r="D19" i="24"/>
  <c r="D29" i="24"/>
  <c r="D21" i="24"/>
  <c r="D33" i="24"/>
  <c r="D23" i="24"/>
  <c r="F8" i="24"/>
  <c r="C35" i="24" s="1"/>
  <c r="B30" i="24"/>
  <c r="B36" i="24"/>
  <c r="B18" i="24"/>
  <c r="B22" i="24"/>
  <c r="B26" i="24"/>
  <c r="B32" i="24"/>
  <c r="B28" i="24"/>
  <c r="B38" i="24"/>
  <c r="B16" i="24"/>
  <c r="B20" i="24"/>
  <c r="B24" i="24"/>
  <c r="B34" i="24"/>
  <c r="C33" i="24"/>
  <c r="C25" i="24"/>
  <c r="C32" i="24"/>
  <c r="C16" i="24"/>
  <c r="C24" i="24"/>
  <c r="B39" i="24"/>
  <c r="B37" i="24"/>
  <c r="B35" i="24"/>
  <c r="B33" i="24"/>
  <c r="B31" i="24"/>
  <c r="B29" i="24"/>
  <c r="B27" i="24"/>
  <c r="B25" i="24"/>
  <c r="B23" i="24"/>
  <c r="B21" i="24"/>
  <c r="B19" i="24"/>
  <c r="B17" i="24"/>
  <c r="D38" i="24"/>
  <c r="D36" i="24"/>
  <c r="D34" i="24"/>
  <c r="D32" i="24"/>
  <c r="G32" i="24" s="1"/>
  <c r="H32" i="24" s="1"/>
  <c r="D30" i="24"/>
  <c r="D28" i="24"/>
  <c r="D26" i="24"/>
  <c r="D24" i="24"/>
  <c r="D22" i="24"/>
  <c r="D20" i="24"/>
  <c r="D18" i="24"/>
  <c r="D16" i="24"/>
  <c r="D27" i="24"/>
  <c r="D31" i="24"/>
  <c r="D35" i="24"/>
  <c r="D39" i="24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G24" i="24" l="1"/>
  <c r="H24" i="24" s="1"/>
  <c r="C17" i="24"/>
  <c r="G29" i="24"/>
  <c r="H29" i="24" s="1"/>
  <c r="C20" i="24"/>
  <c r="G20" i="24" s="1"/>
  <c r="H20" i="24" s="1"/>
  <c r="C28" i="24"/>
  <c r="G28" i="24" s="1"/>
  <c r="H28" i="24" s="1"/>
  <c r="C36" i="24"/>
  <c r="G36" i="24" s="1"/>
  <c r="H36" i="24" s="1"/>
  <c r="C21" i="24"/>
  <c r="G21" i="24" s="1"/>
  <c r="H21" i="24" s="1"/>
  <c r="C29" i="24"/>
  <c r="C37" i="24"/>
  <c r="G37" i="24" s="1"/>
  <c r="H37" i="24" s="1"/>
  <c r="C18" i="24"/>
  <c r="G18" i="24" s="1"/>
  <c r="H18" i="24" s="1"/>
  <c r="C30" i="24"/>
  <c r="G30" i="24" s="1"/>
  <c r="H30" i="24" s="1"/>
  <c r="C38" i="24"/>
  <c r="G38" i="24" s="1"/>
  <c r="H38" i="24" s="1"/>
  <c r="C23" i="24"/>
  <c r="C31" i="24"/>
  <c r="G31" i="24" s="1"/>
  <c r="H31" i="24" s="1"/>
  <c r="C39" i="24"/>
  <c r="G39" i="24" s="1"/>
  <c r="H39" i="24" s="1"/>
  <c r="C22" i="24"/>
  <c r="G22" i="24" s="1"/>
  <c r="H22" i="24" s="1"/>
  <c r="C26" i="24"/>
  <c r="G26" i="24" s="1"/>
  <c r="H26" i="24" s="1"/>
  <c r="C34" i="24"/>
  <c r="G34" i="24" s="1"/>
  <c r="H34" i="24" s="1"/>
  <c r="C19" i="24"/>
  <c r="C27" i="24"/>
  <c r="E5" i="32"/>
  <c r="D11" i="5"/>
  <c r="D10" i="5"/>
  <c r="D5" i="32"/>
  <c r="F40" i="20"/>
  <c r="G19" i="24"/>
  <c r="H19" i="24" s="1"/>
  <c r="G17" i="24"/>
  <c r="H17" i="24" s="1"/>
  <c r="G23" i="24"/>
  <c r="H23" i="24" s="1"/>
  <c r="G25" i="24"/>
  <c r="H25" i="24" s="1"/>
  <c r="G33" i="24"/>
  <c r="H33" i="24" s="1"/>
  <c r="C40" i="24"/>
  <c r="G16" i="24"/>
  <c r="H16" i="24" s="1"/>
  <c r="D40" i="24"/>
  <c r="G27" i="24"/>
  <c r="H27" i="24" s="1"/>
  <c r="G35" i="24"/>
  <c r="H35" i="24" s="1"/>
  <c r="B40" i="24"/>
  <c r="B8" i="11"/>
  <c r="C23" i="11" s="1"/>
  <c r="D23" i="11" s="1"/>
  <c r="B9" i="11" l="1"/>
  <c r="D24" i="11" s="1"/>
  <c r="C26" i="10" s="1"/>
  <c r="I39" i="24"/>
  <c r="I20" i="24"/>
  <c r="I18" i="24"/>
  <c r="I32" i="24"/>
  <c r="I19" i="24"/>
  <c r="I27" i="24"/>
  <c r="I35" i="24"/>
  <c r="I24" i="24"/>
  <c r="I22" i="24"/>
  <c r="I34" i="24"/>
  <c r="I21" i="24"/>
  <c r="I29" i="24"/>
  <c r="I37" i="24"/>
  <c r="I28" i="24"/>
  <c r="I26" i="24"/>
  <c r="I38" i="24"/>
  <c r="I23" i="24"/>
  <c r="A2" i="23" s="1"/>
  <c r="A57" i="23" s="1"/>
  <c r="I31" i="24"/>
  <c r="A3" i="23" s="1"/>
  <c r="B57" i="23" s="1"/>
  <c r="I16" i="24"/>
  <c r="I36" i="24"/>
  <c r="I30" i="24"/>
  <c r="I17" i="24"/>
  <c r="I25" i="24"/>
  <c r="I33" i="24"/>
  <c r="B5" i="32"/>
  <c r="D8" i="5"/>
  <c r="C5" i="32"/>
  <c r="D9" i="5"/>
  <c r="B2" i="29" s="1"/>
  <c r="A5" i="32"/>
  <c r="D7" i="5"/>
  <c r="C11" i="5"/>
  <c r="E5" i="31"/>
  <c r="G40" i="24"/>
  <c r="I40" i="24" s="1"/>
  <c r="D12" i="5" l="1"/>
  <c r="A4" i="23" s="1"/>
  <c r="C57" i="23" s="1"/>
  <c r="F9" i="20" l="1"/>
  <c r="F7" i="20"/>
  <c r="F6" i="20"/>
  <c r="F5" i="20"/>
  <c r="C11" i="20" s="1"/>
  <c r="C39" i="10"/>
  <c r="D5" i="31" l="1"/>
  <c r="C10" i="5"/>
  <c r="D17" i="20"/>
  <c r="D16" i="20"/>
  <c r="D18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F8" i="20"/>
  <c r="B37" i="20" l="1"/>
  <c r="B39" i="20"/>
  <c r="B33" i="20"/>
  <c r="B25" i="20"/>
  <c r="G25" i="20" s="1"/>
  <c r="H25" i="20" s="1"/>
  <c r="B18" i="20"/>
  <c r="B38" i="20"/>
  <c r="B24" i="20"/>
  <c r="G24" i="20" s="1"/>
  <c r="H24" i="20" s="1"/>
  <c r="B35" i="20"/>
  <c r="B29" i="20"/>
  <c r="B34" i="20"/>
  <c r="B26" i="20"/>
  <c r="G26" i="20" s="1"/>
  <c r="H26" i="20" s="1"/>
  <c r="B20" i="20"/>
  <c r="G20" i="20" s="1"/>
  <c r="H20" i="20" s="1"/>
  <c r="B31" i="20"/>
  <c r="B16" i="20"/>
  <c r="B36" i="20"/>
  <c r="B30" i="20"/>
  <c r="B22" i="20"/>
  <c r="B28" i="20"/>
  <c r="B21" i="20"/>
  <c r="B17" i="20"/>
  <c r="B19" i="20"/>
  <c r="B27" i="20"/>
  <c r="B23" i="20"/>
  <c r="G23" i="20" s="1"/>
  <c r="H23" i="20" s="1"/>
  <c r="B32" i="20"/>
  <c r="G32" i="20" s="1"/>
  <c r="H32" i="20" s="1"/>
  <c r="C16" i="20"/>
  <c r="C37" i="20"/>
  <c r="C34" i="20"/>
  <c r="C31" i="20"/>
  <c r="C26" i="20"/>
  <c r="C23" i="20"/>
  <c r="C20" i="20"/>
  <c r="C17" i="20"/>
  <c r="C38" i="20"/>
  <c r="C35" i="20"/>
  <c r="C32" i="20"/>
  <c r="C29" i="20"/>
  <c r="C27" i="20"/>
  <c r="C24" i="20"/>
  <c r="C21" i="20"/>
  <c r="C18" i="20"/>
  <c r="C39" i="20"/>
  <c r="C36" i="20"/>
  <c r="C33" i="20"/>
  <c r="C30" i="20"/>
  <c r="C28" i="20"/>
  <c r="C25" i="20"/>
  <c r="C22" i="20"/>
  <c r="C19" i="20"/>
  <c r="D40" i="20"/>
  <c r="B9" i="5"/>
  <c r="D2" i="29" s="1"/>
  <c r="G30" i="20" l="1"/>
  <c r="H30" i="20" s="1"/>
  <c r="G21" i="20"/>
  <c r="H21" i="20" s="1"/>
  <c r="G27" i="20"/>
  <c r="H27" i="20" s="1"/>
  <c r="G28" i="20"/>
  <c r="H28" i="20" s="1"/>
  <c r="G16" i="20"/>
  <c r="H16" i="20" s="1"/>
  <c r="G39" i="20"/>
  <c r="H39" i="20" s="1"/>
  <c r="G17" i="20"/>
  <c r="H17" i="20" s="1"/>
  <c r="C5" i="31"/>
  <c r="C9" i="5"/>
  <c r="C2" i="29" s="1"/>
  <c r="G19" i="20"/>
  <c r="H19" i="20" s="1"/>
  <c r="G22" i="20"/>
  <c r="H22" i="20" s="1"/>
  <c r="G31" i="20"/>
  <c r="H31" i="20" s="1"/>
  <c r="G18" i="20"/>
  <c r="H18" i="20" s="1"/>
  <c r="A5" i="30"/>
  <c r="D13" i="5"/>
  <c r="B2" i="28" s="1"/>
  <c r="G34" i="20"/>
  <c r="H34" i="20" s="1"/>
  <c r="G33" i="20"/>
  <c r="H33" i="20" s="1"/>
  <c r="G29" i="20"/>
  <c r="H29" i="20" s="1"/>
  <c r="G38" i="20"/>
  <c r="H38" i="20" s="1"/>
  <c r="G36" i="20"/>
  <c r="H36" i="20" s="1"/>
  <c r="G35" i="20"/>
  <c r="H35" i="20" s="1"/>
  <c r="G37" i="20"/>
  <c r="H37" i="20" s="1"/>
  <c r="B40" i="20"/>
  <c r="C40" i="20"/>
  <c r="B8" i="5"/>
  <c r="I39" i="20" l="1"/>
  <c r="I28" i="20"/>
  <c r="I20" i="20"/>
  <c r="I34" i="20"/>
  <c r="I21" i="20"/>
  <c r="I29" i="20"/>
  <c r="I37" i="20"/>
  <c r="I32" i="20"/>
  <c r="I24" i="20"/>
  <c r="I38" i="20"/>
  <c r="I23" i="20"/>
  <c r="B2" i="23" s="1"/>
  <c r="A58" i="23" s="1"/>
  <c r="I31" i="20"/>
  <c r="B3" i="23" s="1"/>
  <c r="B58" i="23" s="1"/>
  <c r="I18" i="20"/>
  <c r="I36" i="20"/>
  <c r="I26" i="20"/>
  <c r="I17" i="20"/>
  <c r="I25" i="20"/>
  <c r="I33" i="20"/>
  <c r="I22" i="20"/>
  <c r="I16" i="20"/>
  <c r="I30" i="20"/>
  <c r="I19" i="20"/>
  <c r="I27" i="20"/>
  <c r="I35" i="20"/>
  <c r="C8" i="5"/>
  <c r="B5" i="31"/>
  <c r="C7" i="5"/>
  <c r="A5" i="31"/>
  <c r="G40" i="20"/>
  <c r="B13" i="5"/>
  <c r="D2" i="28" s="1"/>
  <c r="F4" i="21"/>
  <c r="C38" i="10"/>
  <c r="C37" i="10"/>
  <c r="I40" i="20" l="1"/>
  <c r="C12" i="5"/>
  <c r="F11" i="21"/>
  <c r="E16" i="21"/>
  <c r="C13" i="5"/>
  <c r="C2" i="28" s="1"/>
  <c r="C58" i="23"/>
  <c r="B4" i="23"/>
  <c r="C43" i="10"/>
  <c r="C44" i="10" s="1"/>
  <c r="E40" i="21" l="1"/>
  <c r="C45" i="10"/>
  <c r="C4" i="21" s="1"/>
  <c r="F19" i="21" l="1"/>
  <c r="F23" i="21"/>
  <c r="G23" i="21" s="1"/>
  <c r="H23" i="21" s="1"/>
  <c r="F27" i="21"/>
  <c r="G27" i="21" s="1"/>
  <c r="H27" i="21" s="1"/>
  <c r="F31" i="21"/>
  <c r="G31" i="21" s="1"/>
  <c r="H31" i="21" s="1"/>
  <c r="F35" i="21"/>
  <c r="F39" i="21"/>
  <c r="G39" i="21" s="1"/>
  <c r="H39" i="21" s="1"/>
  <c r="F16" i="21"/>
  <c r="G16" i="21" s="1"/>
  <c r="H16" i="21" s="1"/>
  <c r="F20" i="21"/>
  <c r="G20" i="21" s="1"/>
  <c r="H20" i="21" s="1"/>
  <c r="F24" i="21"/>
  <c r="F28" i="21"/>
  <c r="F32" i="21"/>
  <c r="G32" i="21" s="1"/>
  <c r="H32" i="21" s="1"/>
  <c r="F36" i="21"/>
  <c r="G36" i="21" s="1"/>
  <c r="H36" i="21" s="1"/>
  <c r="F17" i="21"/>
  <c r="F21" i="21"/>
  <c r="G21" i="21" s="1"/>
  <c r="H21" i="21" s="1"/>
  <c r="F25" i="21"/>
  <c r="G25" i="21" s="1"/>
  <c r="H25" i="21" s="1"/>
  <c r="F29" i="21"/>
  <c r="G29" i="21" s="1"/>
  <c r="H29" i="21" s="1"/>
  <c r="F33" i="21"/>
  <c r="F37" i="21"/>
  <c r="G37" i="21" s="1"/>
  <c r="H37" i="21" s="1"/>
  <c r="F18" i="21"/>
  <c r="G18" i="21" s="1"/>
  <c r="H18" i="21" s="1"/>
  <c r="F22" i="21"/>
  <c r="G22" i="21" s="1"/>
  <c r="H22" i="21" s="1"/>
  <c r="F26" i="21"/>
  <c r="F30" i="21"/>
  <c r="F34" i="21"/>
  <c r="G34" i="21" s="1"/>
  <c r="H34" i="21" s="1"/>
  <c r="F38" i="21"/>
  <c r="G17" i="21"/>
  <c r="H17" i="21" s="1"/>
  <c r="G38" i="21"/>
  <c r="H38" i="21" s="1"/>
  <c r="G35" i="21"/>
  <c r="H35" i="21" s="1"/>
  <c r="G26" i="21"/>
  <c r="H26" i="21" s="1"/>
  <c r="G33" i="21"/>
  <c r="H33" i="21" s="1"/>
  <c r="G28" i="21"/>
  <c r="H28" i="21" s="1"/>
  <c r="G30" i="21"/>
  <c r="H30" i="21" s="1"/>
  <c r="G24" i="21"/>
  <c r="H24" i="21" s="1"/>
  <c r="B10" i="5"/>
  <c r="D5" i="30"/>
  <c r="I18" i="21" l="1"/>
  <c r="I17" i="21"/>
  <c r="I20" i="21"/>
  <c r="I16" i="21"/>
  <c r="F40" i="21"/>
  <c r="G19" i="21"/>
  <c r="H19" i="21" s="1"/>
  <c r="I39" i="21" s="1"/>
  <c r="I34" i="21" l="1"/>
  <c r="G40" i="21"/>
  <c r="P40" i="39"/>
  <c r="I25" i="21"/>
  <c r="I27" i="21"/>
  <c r="I29" i="21"/>
  <c r="H40" i="21"/>
  <c r="I32" i="21"/>
  <c r="I38" i="21"/>
  <c r="I36" i="21"/>
  <c r="I22" i="21"/>
  <c r="I31" i="21"/>
  <c r="C3" i="23" s="1"/>
  <c r="B59" i="23" s="1"/>
  <c r="I24" i="21"/>
  <c r="I33" i="21"/>
  <c r="I26" i="21"/>
  <c r="I19" i="21"/>
  <c r="I35" i="21"/>
  <c r="I28" i="21"/>
  <c r="I21" i="21"/>
  <c r="I37" i="21"/>
  <c r="I30" i="21"/>
  <c r="I23" i="21"/>
  <c r="C2" i="23" s="1"/>
  <c r="A59" i="23" s="1"/>
  <c r="B11" i="5"/>
  <c r="B12" i="5" s="1"/>
  <c r="C4" i="23" s="1"/>
  <c r="C59" i="23" s="1"/>
  <c r="E5" i="30"/>
  <c r="I40" i="21" l="1"/>
  <c r="P36" i="39"/>
  <c r="P38" i="39"/>
  <c r="P37" i="39"/>
  <c r="P39" i="39"/>
</calcChain>
</file>

<file path=xl/sharedStrings.xml><?xml version="1.0" encoding="utf-8"?>
<sst xmlns="http://schemas.openxmlformats.org/spreadsheetml/2006/main" count="319" uniqueCount="208">
  <si>
    <t>Water (1000 gallons)</t>
  </si>
  <si>
    <t>Chemical Annual Cost</t>
  </si>
  <si>
    <t>Water Cost (1000 gallons)</t>
  </si>
  <si>
    <t>Sewer Cost (1000 gallons)</t>
  </si>
  <si>
    <t>Ton -h/year</t>
  </si>
  <si>
    <t>Ton</t>
  </si>
  <si>
    <t>Annual Electric Load / Villa</t>
  </si>
  <si>
    <t>kW</t>
  </si>
  <si>
    <t>Peak Electric Load/Villa</t>
  </si>
  <si>
    <t xml:space="preserve">Annual  </t>
  </si>
  <si>
    <t>Electrical</t>
  </si>
  <si>
    <t xml:space="preserve"> (MWh)</t>
  </si>
  <si>
    <t xml:space="preserve">Electric </t>
  </si>
  <si>
    <t>Rate</t>
  </si>
  <si>
    <t>Sewer  (1000 gallons)</t>
  </si>
  <si>
    <t xml:space="preserve">Estimate </t>
  </si>
  <si>
    <t xml:space="preserve"> of Annual Maintenancce and Utility Cost</t>
  </si>
  <si>
    <r>
      <t>$/(</t>
    </r>
    <r>
      <rPr>
        <sz val="18"/>
        <color theme="1"/>
        <rFont val="Calibri (Body)_x0000_"/>
      </rPr>
      <t>1000 gallons)</t>
    </r>
  </si>
  <si>
    <r>
      <rPr>
        <sz val="18"/>
        <color theme="1"/>
        <rFont val="Calibri (Body)_x0000_"/>
      </rPr>
      <t>$</t>
    </r>
    <r>
      <rPr>
        <sz val="18"/>
        <color theme="1"/>
        <rFont val="Calibri"/>
        <family val="2"/>
        <scheme val="minor"/>
      </rPr>
      <t>/(</t>
    </r>
    <r>
      <rPr>
        <sz val="18"/>
        <color theme="1"/>
        <rFont val="Calibri (Body)_x0000_"/>
      </rPr>
      <t>1000 gallons)</t>
    </r>
  </si>
  <si>
    <t>Electric Utility Cost ($)</t>
  </si>
  <si>
    <t>Estimated Water Cost ($)</t>
  </si>
  <si>
    <t>Estimated Sewer Cost ($)</t>
  </si>
  <si>
    <t>Peak Cooling Load Demand/Villa</t>
  </si>
  <si>
    <t>Estimated Chemicals Cost ($)</t>
  </si>
  <si>
    <t>Annual Cooling Load Demand/Villa</t>
  </si>
  <si>
    <t>Operator Salaries</t>
  </si>
  <si>
    <t>Chiller Operation &amp; Maintenance Cost</t>
  </si>
  <si>
    <t>Utility Consumption Summary for N6</t>
  </si>
  <si>
    <t>AL Mutlaa District Cooling Design Report</t>
  </si>
  <si>
    <t>Cost of the Plant Facility per MW Cooling Load</t>
  </si>
  <si>
    <t xml:space="preserve">MW </t>
  </si>
  <si>
    <t>MW</t>
  </si>
  <si>
    <t>Cost of the Primary Plant Facility Per Nieghbourhood</t>
  </si>
  <si>
    <t xml:space="preserve">AL Mutlaa District Cooling </t>
  </si>
  <si>
    <t>Anuual Consumption</t>
  </si>
  <si>
    <t>Distribution Pipe Network Cost Estimate</t>
  </si>
  <si>
    <t>Unit Rate</t>
  </si>
  <si>
    <t>part of city wide infrastructure costs</t>
  </si>
  <si>
    <t>Total</t>
  </si>
  <si>
    <t>Cost Calculatons</t>
  </si>
  <si>
    <t>Peak Electric Load MW</t>
  </si>
  <si>
    <t>(Local Consultation Guide)</t>
  </si>
  <si>
    <t>Cost*</t>
  </si>
  <si>
    <t xml:space="preserve">* Civils Cost Excluded - assumed is provided as </t>
  </si>
  <si>
    <t>Total Annual  Cost</t>
  </si>
  <si>
    <t>Annual Cooling Load Demand (N)</t>
  </si>
  <si>
    <t>$/ Annual Cooling Load Ton-h</t>
  </si>
  <si>
    <t>Annual  Chiller O&amp;M Cost</t>
  </si>
  <si>
    <t>Annual  Insurance</t>
  </si>
  <si>
    <t>of the total construction cost</t>
  </si>
  <si>
    <t>Annual  Engineer labor cost</t>
  </si>
  <si>
    <t>Annual  Technician labor cost</t>
  </si>
  <si>
    <t>Current Work</t>
  </si>
  <si>
    <t>MWh/year</t>
  </si>
  <si>
    <t>of Annual Cooling Load MWh</t>
  </si>
  <si>
    <t>kWh/year</t>
  </si>
  <si>
    <t>$/kWh</t>
  </si>
  <si>
    <t xml:space="preserve"> MWh</t>
  </si>
  <si>
    <t>AL Mutlaa City (Villas Only)</t>
  </si>
  <si>
    <t>No. of Villas/ (N: Neighbourhood)</t>
  </si>
  <si>
    <t>(COP=5.5)</t>
  </si>
  <si>
    <t>Peak Electric Load (N)</t>
  </si>
  <si>
    <t xml:space="preserve">               1500 Ton Chiller 12+1</t>
  </si>
  <si>
    <t>5651 kW</t>
  </si>
  <si>
    <t>Years</t>
  </si>
  <si>
    <t>DC   System Cost</t>
  </si>
  <si>
    <t>Power Station    Cost</t>
  </si>
  <si>
    <t>Electric Utility    Cost</t>
  </si>
  <si>
    <t>Total Annual  Cost (no electricty)</t>
  </si>
  <si>
    <t>DC       Running Cost</t>
  </si>
  <si>
    <t>Total Facility construction cost</t>
  </si>
  <si>
    <t>of Annual Cooling Load MWh District Cooling Guide 0.25 portable water</t>
  </si>
  <si>
    <r>
      <t xml:space="preserve"> </t>
    </r>
    <r>
      <rPr>
        <sz val="18"/>
        <color theme="1"/>
        <rFont val="Calibri (Body)_x0000_"/>
      </rPr>
      <t>DC Annual  Running Cost (no electricty)</t>
    </r>
  </si>
  <si>
    <t xml:space="preserve"> </t>
  </si>
  <si>
    <t>Power Station Insurance   Cost</t>
  </si>
  <si>
    <r>
      <t xml:space="preserve"> </t>
    </r>
    <r>
      <rPr>
        <sz val="18"/>
        <color theme="1"/>
        <rFont val="Calibri (Body)_x0000_"/>
      </rPr>
      <t xml:space="preserve">DC System Cost </t>
    </r>
  </si>
  <si>
    <r>
      <t xml:space="preserve"> </t>
    </r>
    <r>
      <rPr>
        <sz val="18"/>
        <color theme="1"/>
        <rFont val="Calibri (Body)_x0000_"/>
      </rPr>
      <t>Power Station Cost/MW</t>
    </r>
  </si>
  <si>
    <t xml:space="preserve"> Power Station Cost</t>
  </si>
  <si>
    <r>
      <t xml:space="preserve"> </t>
    </r>
    <r>
      <rPr>
        <sz val="18"/>
        <color theme="1"/>
        <rFont val="Calibri (Body)_x0000_"/>
      </rPr>
      <t>Annual Electric Load MWH</t>
    </r>
  </si>
  <si>
    <t>Power Station M&amp;O     Cost /MWH</t>
  </si>
  <si>
    <t>Power Station Labor     Cost /MWH</t>
  </si>
  <si>
    <t>Power Station Insurance   Cost % of toal cost</t>
  </si>
  <si>
    <t>Electric Utility Cost/MW</t>
  </si>
  <si>
    <t>Electric Utility Cost/Year</t>
  </si>
  <si>
    <t>Power Station Insurance Cost/Year</t>
  </si>
  <si>
    <t>Power Station Labor  Cost/Year</t>
  </si>
  <si>
    <t>Power Station M&amp;O Cost /Year</t>
  </si>
  <si>
    <t>DC System Cost/Year</t>
  </si>
  <si>
    <t>Power Station Cost/Year</t>
  </si>
  <si>
    <t xml:space="preserve"> Inflation Rate 1.5%</t>
  </si>
  <si>
    <t>Total Cost/Year</t>
  </si>
  <si>
    <t>VRF System Cost</t>
  </si>
  <si>
    <t>VRF Cost/Year</t>
  </si>
  <si>
    <t>DX Cost/Year</t>
  </si>
  <si>
    <t xml:space="preserve"> Interest Rate 3%</t>
  </si>
  <si>
    <t>Power Station Insurance Cost (m$US)</t>
  </si>
  <si>
    <t>VRF Cooling System</t>
  </si>
  <si>
    <t>DX Cooling System</t>
  </si>
  <si>
    <t>DC Cooling    System</t>
  </si>
  <si>
    <t>12 Neighbors</t>
  </si>
  <si>
    <t>(12*2300)</t>
  </si>
  <si>
    <t xml:space="preserve">VRF </t>
  </si>
  <si>
    <t>DX</t>
  </si>
  <si>
    <t>DC</t>
  </si>
  <si>
    <t>Peak Cooling Load Installed (N) Ton</t>
  </si>
  <si>
    <t>Peak Cooling Load Installed (N) MW</t>
  </si>
  <si>
    <t>Peak Cooling load Installed Per Nieghbourhood</t>
  </si>
  <si>
    <t>$/  Cooling Load installed Ton</t>
  </si>
  <si>
    <t>$/Ton</t>
  </si>
  <si>
    <r>
      <t xml:space="preserve"> </t>
    </r>
    <r>
      <rPr>
        <sz val="18"/>
        <color theme="1"/>
        <rFont val="Calibri (Body)_x0000_"/>
      </rPr>
      <t>VRF Annual  Running Cost (no electricty)</t>
    </r>
  </si>
  <si>
    <r>
      <t>VRF</t>
    </r>
    <r>
      <rPr>
        <sz val="18"/>
        <color theme="1"/>
        <rFont val="Calibri (Body)_x0000_"/>
      </rPr>
      <t xml:space="preserve"> System Cost </t>
    </r>
  </si>
  <si>
    <t>VRF Running Cost</t>
  </si>
  <si>
    <t>Power Station M&amp;O                Cost /MWH</t>
  </si>
  <si>
    <t>Electric Utility Cost  (M$)</t>
  </si>
  <si>
    <t>Capital Cost   ( M$)</t>
  </si>
  <si>
    <t>Cost of  Power Station  Purchasing  (M$)</t>
  </si>
  <si>
    <t xml:space="preserve"> Running Cost (M$)                  (No Electricity)</t>
  </si>
  <si>
    <t xml:space="preserve">DX System Cost </t>
  </si>
  <si>
    <r>
      <t>DX</t>
    </r>
    <r>
      <rPr>
        <sz val="18"/>
        <color theme="1"/>
        <rFont val="Calibri (Body)_x0000_"/>
      </rPr>
      <t xml:space="preserve"> </t>
    </r>
    <r>
      <rPr>
        <sz val="22"/>
        <color theme="1"/>
        <rFont val="Calibri (Body)_x0000_"/>
      </rPr>
      <t>Annual  Running Cost (no electricty)</t>
    </r>
  </si>
  <si>
    <t xml:space="preserve"> Power Station Cost/MW</t>
  </si>
  <si>
    <r>
      <t xml:space="preserve"> </t>
    </r>
    <r>
      <rPr>
        <sz val="20"/>
        <color theme="1"/>
        <rFont val="Calibri (Body)_x0000_"/>
      </rPr>
      <t>Power Station Cost</t>
    </r>
  </si>
  <si>
    <t>DX                   System Cost</t>
  </si>
  <si>
    <t>DX               Running Cost</t>
  </si>
  <si>
    <t>M$</t>
  </si>
  <si>
    <t>Total Facitility &amp; Pipe Network cost M$</t>
  </si>
  <si>
    <t>Cost of  Power Station &amp; Insurance (M$)</t>
  </si>
  <si>
    <t>DC Cost Estimate  For Nieghbourhood Primary Plant Facilities and Distribution Network</t>
  </si>
  <si>
    <t xml:space="preserve">VRF Captial &amp; Running Cost Estimate  For one Nieghbourhood </t>
  </si>
  <si>
    <t>Cost of the Unit ($/Ton)</t>
  </si>
  <si>
    <t>Number of Units per Villa</t>
  </si>
  <si>
    <t>Load per Unit (Ton)</t>
  </si>
  <si>
    <t>Number of Villas Per Nieghbourhood</t>
  </si>
  <si>
    <t xml:space="preserve"> Interest Rate</t>
  </si>
  <si>
    <t>Captial  Cost Per Nieghbourhood</t>
  </si>
  <si>
    <t>VRF Annual  Running Cost (no electricty)</t>
  </si>
  <si>
    <t>Annual Maintenance &amp; Labor &amp; Spare Parts Cost $/ Year-Ton</t>
  </si>
  <si>
    <t xml:space="preserve">Annual Maintenance &amp; Labor &amp; Spare Parts Cost </t>
  </si>
  <si>
    <t xml:space="preserve">DX Captial &amp; Running Cost Estimate  For one Nieghbourhood </t>
  </si>
  <si>
    <t xml:space="preserve">Power Station    </t>
  </si>
  <si>
    <t xml:space="preserve">Power Station Insurance   </t>
  </si>
  <si>
    <t xml:space="preserve">Electric Utility    </t>
  </si>
  <si>
    <t xml:space="preserve">  DC Running Cost</t>
  </si>
  <si>
    <t>DC System Cost</t>
  </si>
  <si>
    <t xml:space="preserve">  VRF Running Cost</t>
  </si>
  <si>
    <t>30 Years DX Cooling System</t>
  </si>
  <si>
    <t>DX System Cost</t>
  </si>
  <si>
    <t xml:space="preserve">  DX Running Cost</t>
  </si>
  <si>
    <t>Peak Electric Power Demand (MW)</t>
  </si>
  <si>
    <t>One Neighbor (Villas Only)</t>
  </si>
  <si>
    <t>Included in chiller O&amp;M cost</t>
  </si>
  <si>
    <t>ETU</t>
  </si>
  <si>
    <t>of Annual Cooling Load Ton-h   1.5*(0.44/MWh)</t>
  </si>
  <si>
    <t xml:space="preserve">Annual Water Portable (1000 gallons/MWh) </t>
  </si>
  <si>
    <t xml:space="preserve">Annual sewage Water (1000 gallons/MWh) </t>
  </si>
  <si>
    <t xml:space="preserve">Annual treated sewage Water (1000 gallons/MWh) </t>
  </si>
  <si>
    <t>Annual Electric Load MWH</t>
  </si>
  <si>
    <t>kg/kWh</t>
  </si>
  <si>
    <r>
      <t>CO</t>
    </r>
    <r>
      <rPr>
        <vertAlign val="subscript"/>
        <sz val="20"/>
        <color theme="1"/>
        <rFont val="Times New Roman"/>
        <family val="1"/>
      </rPr>
      <t>2</t>
    </r>
    <r>
      <rPr>
        <sz val="20"/>
        <color theme="1"/>
        <rFont val="Times New Roman"/>
        <family val="1"/>
      </rPr>
      <t xml:space="preserve"> emission is based on plant emission factor (Kuwait) of 870 gCO</t>
    </r>
    <r>
      <rPr>
        <vertAlign val="subscript"/>
        <sz val="20"/>
        <color theme="1"/>
        <rFont val="Times New Roman"/>
        <family val="1"/>
      </rPr>
      <t>2</t>
    </r>
    <r>
      <rPr>
        <sz val="20"/>
        <color theme="1"/>
        <rFont val="Times New Roman"/>
        <family val="1"/>
      </rPr>
      <t>/kWhe</t>
    </r>
  </si>
  <si>
    <t>Annual CO2 emission Kg</t>
  </si>
  <si>
    <t>DC 24 Years Total Cost of one Neighbor (Villas Only)</t>
  </si>
  <si>
    <t>24 Years DC Cooling System</t>
  </si>
  <si>
    <t xml:space="preserve"> 1st 12 Years</t>
  </si>
  <si>
    <t>2nd 12 Years</t>
  </si>
  <si>
    <t xml:space="preserve"> 1st 8 Years</t>
  </si>
  <si>
    <t>2nd 8 Years</t>
  </si>
  <si>
    <t>3rd 8 Years</t>
  </si>
  <si>
    <t>VRF 24 Years Total Cost of one Neighbor (Villas Only)</t>
  </si>
  <si>
    <t xml:space="preserve">            1st                 12 Years</t>
  </si>
  <si>
    <t xml:space="preserve">          2nd                   12 Years</t>
  </si>
  <si>
    <t>24 Years VRF Cooling System</t>
  </si>
  <si>
    <t>DX 24 Years Total Cost of one Neighbor (Villas Only)</t>
  </si>
  <si>
    <t xml:space="preserve">   1st 8 Years</t>
  </si>
  <si>
    <t xml:space="preserve">  2nd 8 Years</t>
  </si>
  <si>
    <t>DX Annual  Running Cost (no electricty)</t>
  </si>
  <si>
    <t>8  Years</t>
  </si>
  <si>
    <t>16 Years</t>
  </si>
  <si>
    <t>24 Years</t>
  </si>
  <si>
    <t xml:space="preserve">24 Years Cost Comparison of the Three Alternatives </t>
  </si>
  <si>
    <t>Diameter</t>
  </si>
  <si>
    <t xml:space="preserve">Length </t>
  </si>
  <si>
    <t>(mm)</t>
  </si>
  <si>
    <t>$/m</t>
  </si>
  <si>
    <t>m</t>
  </si>
  <si>
    <t>m$</t>
  </si>
  <si>
    <t xml:space="preserve"> Yearly Total Cost for 12 N M$</t>
  </si>
  <si>
    <t>Accumalted Yearly Total Cost for 12 N M$</t>
  </si>
  <si>
    <t>Consumption (kWh)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</si>
  <si>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</si>
  <si>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</si>
  <si>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</si>
  <si>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</si>
  <si>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</si>
  <si>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</si>
  <si>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</si>
  <si>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</si>
  <si>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</si>
  <si>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</si>
  <si>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</si>
  <si>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</si>
  <si>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EUI</t>
  </si>
  <si>
    <t>kWh/m2</t>
  </si>
  <si>
    <t>%</t>
  </si>
  <si>
    <t>Power Station</t>
  </si>
  <si>
    <t>Insurance</t>
  </si>
  <si>
    <t>Electric Utility</t>
  </si>
  <si>
    <t>System</t>
  </si>
  <si>
    <t>Running</t>
  </si>
  <si>
    <t>24Yeas Total Cost (M$)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</si>
</sst>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164" formatCode="&quot;$&quot;#,##0.00000"/>
    <numFmt numFmtId="165" formatCode="0.0"/>
    <numFmt numFmtId="166" formatCode="&quot;$&quot;#,##0"/>
    <numFmt numFmtId="167" formatCode="&quot;$&quot;#,##0.00000_);[Red]\(&quot;$&quot;#,##0.00000\)"/>
    <numFmt numFmtId="168" formatCode="&quot;$&quot;#,##0.0"/>
    <numFmt numFmtId="169" formatCode="&quot;$&quot;#,##0.00"/>
    <numFmt numFmtId="170" formatCode="0.00000"/>
  </numFmts>
  <fonts count="20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color theme="1"/>
      <name val="Calibri (Body)_x0000_"/>
    </font>
    <font>
      <sz val="18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 (Body)_x0000_"/>
    </font>
    <font>
      <sz val="22"/>
      <color theme="1"/>
      <name val="Calibri (Body)_x0000_"/>
    </font>
    <font>
      <sz val="16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theme="1"/>
      <name val="Calibri (Body)_x0000_"/>
    </font>
    <font>
      <sz val="24"/>
      <color theme="1"/>
      <name val="Calibri"/>
      <family val="2"/>
      <scheme val="minor"/>
    </font>
    <font>
      <sz val="28"/>
      <color theme="1"/>
      <name val="Calibri (Body)_x0000_"/>
    </font>
    <font>
      <sz val="20"/>
      <color theme="1"/>
      <name val="Times New Roman"/>
      <family val="1"/>
    </font>
    <font>
      <vertAlign val="subscript"/>
      <sz val="20"/>
      <color theme="1"/>
      <name val="Times New Roman"/>
      <family val="1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0" fillId="0" borderId="1" xfId="0" applyBorder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vertical="center" wrapText="1"/>
    </xf>
    <xf numFmtId="8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2" xfId="0" applyFont="1" applyBorder="1"/>
    <xf numFmtId="0" fontId="0" fillId="0" borderId="3" xfId="0" applyBorder="1"/>
    <xf numFmtId="1" fontId="5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4" xfId="0" applyBorder="1"/>
    <xf numFmtId="0" fontId="6" fillId="0" borderId="0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6" fontId="11" fillId="0" borderId="1" xfId="0" applyNumberFormat="1" applyFont="1" applyBorder="1" applyAlignment="1">
      <alignment vertical="center"/>
    </xf>
    <xf numFmtId="6" fontId="6" fillId="0" borderId="1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6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8" fontId="11" fillId="0" borderId="0" xfId="0" applyNumberFormat="1" applyFont="1" applyAlignment="1">
      <alignment horizontal="center" vertical="center"/>
    </xf>
    <xf numFmtId="6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8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69" fontId="1" fillId="0" borderId="1" xfId="0" applyNumberFormat="1" applyFont="1" applyBorder="1" applyAlignment="1">
      <alignment horizontal="center"/>
    </xf>
    <xf numFmtId="6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3" fontId="13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/>
    <xf numFmtId="0" fontId="7" fillId="0" borderId="0" xfId="0" applyFont="1" applyBorder="1"/>
    <xf numFmtId="0" fontId="7" fillId="0" borderId="3" xfId="0" applyFont="1" applyBorder="1" applyAlignment="1">
      <alignment wrapText="1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3" fillId="0" borderId="1" xfId="0" applyNumberFormat="1" applyFont="1" applyBorder="1"/>
    <xf numFmtId="0" fontId="14" fillId="0" borderId="0" xfId="0" applyFont="1"/>
    <xf numFmtId="0" fontId="6" fillId="0" borderId="8" xfId="0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 vertical="center"/>
    </xf>
    <xf numFmtId="0" fontId="17" fillId="0" borderId="0" xfId="0" applyFont="1"/>
    <xf numFmtId="1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70" fontId="1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" fontId="19" fillId="0" borderId="0" xfId="0" applyNumberFormat="1" applyFont="1"/>
    <xf numFmtId="165" fontId="0" fillId="0" borderId="0" xfId="0" applyNumberFormat="1"/>
    <xf numFmtId="165" fontId="18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24 Years DC Cooling System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05-8B4D-9275-0D9FD575AE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A05-8B4D-9275-0D9FD575AE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05-8B4D-9275-0D9FD575AE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A05-8B4D-9275-0D9FD575AE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A05-8B4D-9275-0D9FD575AEB8}"/>
              </c:ext>
            </c:extLst>
          </c:dPt>
          <c:dLbls>
            <c:dLbl>
              <c:idx val="2"/>
              <c:spPr>
                <a:solidFill>
                  <a:schemeClr val="lt1"/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A05-8B4D-9275-0D9FD575AEB8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 24 Yers DC'!$A$4:$E$4</c:f>
              <c:strCache>
                <c:ptCount val="5"/>
                <c:pt idx="0">
                  <c:v>Power Station    </c:v>
                </c:pt>
                <c:pt idx="1">
                  <c:v>Power Station Insurance   </c:v>
                </c:pt>
                <c:pt idx="2">
                  <c:v>Electric Utility    </c:v>
                </c:pt>
                <c:pt idx="3">
                  <c:v>DC System Cost</c:v>
                </c:pt>
                <c:pt idx="4">
                  <c:v>  DC Running Cost</c:v>
                </c:pt>
              </c:strCache>
            </c:strRef>
          </c:cat>
          <c:val>
            <c:numRef>
              <c:f>'Graph 24 Yers DC'!$A$5:$E$5</c:f>
              <c:numCache>
                <c:formatCode>"$"#,##0</c:formatCode>
                <c:ptCount val="5"/>
                <c:pt idx="0" formatCode="&quot;$&quot;#,##0_);[Red]\(&quot;$&quot;#,##0\)">
                  <c:v>140080229.31347111</c:v>
                </c:pt>
                <c:pt idx="1">
                  <c:v>21227591.496762183</c:v>
                </c:pt>
                <c:pt idx="2">
                  <c:v>880171316.26856136</c:v>
                </c:pt>
                <c:pt idx="3" formatCode="&quot;$&quot;#,##0_);[Red]\(&quot;$&quot;#,##0\)">
                  <c:v>210014960</c:v>
                </c:pt>
                <c:pt idx="4">
                  <c:v>198087311.80055609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05-8B4D-9275-0D9FD575AEB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78215223097108E-2"/>
          <c:y val="0.15874822465373647"/>
          <c:w val="0.88074358509593553"/>
          <c:h val="0.72695011211150717"/>
        </c:manualLayout>
      </c:layout>
      <c:barChart>
        <c:barDir val="col"/>
        <c:grouping val="clustered"/>
        <c:varyColors val="0"/>
        <c:ser>
          <c:idx val="1"/>
          <c:order val="0"/>
          <c:tx>
            <c:v>DX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Cost of  Power Station &amp; '!$B$2</c:f>
              <c:numCache>
                <c:formatCode>#,##0</c:formatCode>
                <c:ptCount val="1"/>
                <c:pt idx="0">
                  <c:v>3839.9980694500946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48-2F4F-B684-284310E0E6DC}"/>
            </c:ext>
          </c:extLst>
        </c:ser>
        <c:ser>
          <c:idx val="0"/>
          <c:order val="1"/>
          <c:tx>
            <c:v>VRF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Cost of  Power Station &amp; '!$C$2</c:f>
              <c:numCache>
                <c:formatCode>#,##0</c:formatCode>
                <c:ptCount val="1"/>
                <c:pt idx="0">
                  <c:v>3787.6820194575853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48-2F4F-B684-284310E0E6DC}"/>
            </c:ext>
          </c:extLst>
        </c:ser>
        <c:ser>
          <c:idx val="2"/>
          <c:order val="2"/>
          <c:tx>
            <c:v>DC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Cost of  Power Station &amp; '!$D$2</c:f>
              <c:numCache>
                <c:formatCode>#,##0</c:formatCode>
                <c:ptCount val="1"/>
                <c:pt idx="0">
                  <c:v>1935.6938497227995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48-2F4F-B684-284310E0E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21739136"/>
        <c:axId val="-321736416"/>
      </c:barChart>
      <c:catAx>
        <c:axId val="-32173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800" b="0" i="0" u="none" strike="noStrike" baseline="0">
                    <a:effectLst/>
                  </a:rPr>
                  <a:t>24 Yeas </a:t>
                </a:r>
                <a:r>
                  <a:rPr lang="en-US" sz="2800" b="0" i="0" baseline="0">
                    <a:effectLst/>
                  </a:rPr>
                  <a:t>Cost of  Power Station &amp; Insurance (M$)</a:t>
                </a:r>
                <a:endParaRPr lang="en-US" sz="2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7875555555555553"/>
              <c:y val="5.19286225585438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736416"/>
        <c:crosses val="autoZero"/>
        <c:auto val="1"/>
        <c:lblAlgn val="ctr"/>
        <c:lblOffset val="100"/>
        <c:noMultiLvlLbl val="0"/>
      </c:catAx>
      <c:valAx>
        <c:axId val="-32173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 i="0" u="none" strike="noStrike" baseline="0">
                    <a:effectLst/>
                  </a:rPr>
                  <a:t>Power Station &amp; Insurance Cost (M$)</a:t>
                </a:r>
                <a:r>
                  <a:rPr lang="en-US" sz="1400" b="1" i="0" u="none" strike="noStrike" baseline="0"/>
                  <a:t> </a:t>
                </a:r>
                <a:endParaRPr lang="en-US" sz="14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239720034995623E-3"/>
              <c:y val="0.294599425071866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739136"/>
        <c:crosses val="autoZero"/>
        <c:crossBetween val="between"/>
      </c:valAx>
      <c:spPr>
        <a:noFill/>
        <a:ln w="190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67307664041994764"/>
          <c:y val="0.19591710127143194"/>
          <c:w val="0.25448862642169728"/>
          <c:h val="5.5848925327223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67104111986003E-2"/>
          <c:y val="0.11834418424969605"/>
          <c:w val="0.88074358509593553"/>
          <c:h val="0.72695011211150717"/>
        </c:manualLayout>
      </c:layout>
      <c:barChart>
        <c:barDir val="col"/>
        <c:grouping val="clustered"/>
        <c:varyColors val="0"/>
        <c:ser>
          <c:idx val="1"/>
          <c:order val="0"/>
          <c:tx>
            <c:v>DX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Peak Electric Power Deman'!$B$2</c:f>
              <c:numCache>
                <c:formatCode>#,##0</c:formatCode>
                <c:ptCount val="1"/>
                <c:pt idx="0">
                  <c:v>1761.6000000000001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3-084F-94E1-8E509B234DB9}"/>
            </c:ext>
          </c:extLst>
        </c:ser>
        <c:ser>
          <c:idx val="0"/>
          <c:order val="1"/>
          <c:tx>
            <c:v>VRF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Peak Electric Power Deman'!$C$2</c:f>
              <c:numCache>
                <c:formatCode>#,##0</c:formatCode>
                <c:ptCount val="1"/>
                <c:pt idx="0">
                  <c:v>1737.6000000000001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83-084F-94E1-8E509B234DB9}"/>
            </c:ext>
          </c:extLst>
        </c:ser>
        <c:ser>
          <c:idx val="2"/>
          <c:order val="2"/>
          <c:tx>
            <c:v>DC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Peak Electric Power Deman'!$D$2</c:f>
              <c:numCache>
                <c:formatCode>#,##0</c:formatCode>
                <c:ptCount val="1"/>
                <c:pt idx="0">
                  <c:v>888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83-084F-94E1-8E509B234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21744032"/>
        <c:axId val="-321746752"/>
      </c:barChart>
      <c:catAx>
        <c:axId val="-32174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800" b="0" i="0" baseline="0">
                    <a:effectLst/>
                  </a:rPr>
                  <a:t>Peak Electrical Power Demand</a:t>
                </a:r>
                <a:endParaRPr lang="en-US" sz="2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3208888888888882"/>
              <c:y val="4.182761245753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746752"/>
        <c:crosses val="autoZero"/>
        <c:auto val="1"/>
        <c:lblAlgn val="ctr"/>
        <c:lblOffset val="100"/>
        <c:noMultiLvlLbl val="0"/>
      </c:catAx>
      <c:valAx>
        <c:axId val="-3217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800" b="0" i="0" baseline="0">
                    <a:effectLst/>
                  </a:rPr>
                  <a:t>Peak Electricalal Power Demand (MW)</a:t>
                </a:r>
                <a:endParaRPr lang="en-US" sz="2000">
                  <a:effectLst/>
                </a:endParaRPr>
              </a:p>
            </c:rich>
          </c:tx>
          <c:layout>
            <c:manualLayout>
              <c:xMode val="edge"/>
              <c:yMode val="edge"/>
              <c:x val="6.2684164479440072E-3"/>
              <c:y val="0.32057345104589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744032"/>
        <c:crosses val="autoZero"/>
        <c:crossBetween val="between"/>
      </c:valAx>
      <c:spPr>
        <a:noFill/>
        <a:ln w="190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67307664041994764"/>
          <c:y val="0.19591710127143194"/>
          <c:w val="0.25448862642169728"/>
          <c:h val="5.5848925327223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67104111986003E-2"/>
          <c:y val="0.11834418424969605"/>
          <c:w val="0.88074358509593553"/>
          <c:h val="0.72695011211150717"/>
        </c:manualLayout>
      </c:layout>
      <c:barChart>
        <c:barDir val="col"/>
        <c:grouping val="clustered"/>
        <c:varyColors val="0"/>
        <c:ser>
          <c:idx val="1"/>
          <c:order val="0"/>
          <c:tx>
            <c:v>DX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Electrical Utility Cost'!$B$2</c:f>
              <c:numCache>
                <c:formatCode>#,##0</c:formatCode>
                <c:ptCount val="1"/>
                <c:pt idx="0">
                  <c:v>16381.711742437883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60-164A-9AEC-ECF7F68CF24F}"/>
            </c:ext>
          </c:extLst>
        </c:ser>
        <c:ser>
          <c:idx val="0"/>
          <c:order val="1"/>
          <c:tx>
            <c:v>VRF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Electrical Utility Cost'!$C$2</c:f>
              <c:numCache>
                <c:formatCode>#,##0</c:formatCode>
                <c:ptCount val="1"/>
                <c:pt idx="0">
                  <c:v>12504.760786155228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60-164A-9AEC-ECF7F68CF24F}"/>
            </c:ext>
          </c:extLst>
        </c:ser>
        <c:ser>
          <c:idx val="2"/>
          <c:order val="2"/>
          <c:tx>
            <c:v>DC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Electrical Utility Cost'!$D$2</c:f>
              <c:numCache>
                <c:formatCode>#,##0</c:formatCode>
                <c:ptCount val="1"/>
                <c:pt idx="0">
                  <c:v>10562.055795222735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60-164A-9AEC-ECF7F68CF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21747296"/>
        <c:axId val="-321744576"/>
      </c:barChart>
      <c:catAx>
        <c:axId val="-32174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800" b="0" i="0" u="none" strike="noStrike" baseline="0">
                    <a:effectLst/>
                  </a:rPr>
                  <a:t>24 Yeas </a:t>
                </a:r>
                <a:r>
                  <a:rPr lang="en-US" sz="2800" b="0" i="0" baseline="0">
                    <a:effectLst/>
                  </a:rPr>
                  <a:t>Electrical Utility Cost  (M$)</a:t>
                </a:r>
                <a:endParaRPr lang="en-US" sz="2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3208888888888882"/>
              <c:y val="4.182761245753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4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744576"/>
        <c:crosses val="autoZero"/>
        <c:auto val="1"/>
        <c:lblAlgn val="ctr"/>
        <c:lblOffset val="100"/>
        <c:noMultiLvlLbl val="0"/>
      </c:catAx>
      <c:valAx>
        <c:axId val="-32174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 i="0" u="none" strike="noStrike" baseline="0">
                    <a:effectLst/>
                  </a:rPr>
                  <a:t>Electrical Utility Cost (M$)</a:t>
                </a:r>
                <a:r>
                  <a:rPr lang="en-US" sz="1400" b="1" i="0" u="none" strike="noStrike" baseline="0"/>
                  <a:t> </a:t>
                </a:r>
                <a:endParaRPr lang="en-US" sz="14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3795275590551185E-3"/>
              <c:y val="0.26429639476883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747296"/>
        <c:crosses val="autoZero"/>
        <c:crossBetween val="between"/>
      </c:valAx>
      <c:spPr>
        <a:noFill/>
        <a:ln w="190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67307664041994764"/>
          <c:y val="0.19591710127143194"/>
          <c:w val="0.25448862642169728"/>
          <c:h val="5.5848925327223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2797176749267"/>
          <c:y val="9.0927156832668637E-2"/>
          <c:w val="0.85606046906469135"/>
          <c:h val="0.80775823476610875"/>
        </c:manualLayout>
      </c:layout>
      <c:barChart>
        <c:barDir val="col"/>
        <c:grouping val="clustered"/>
        <c:varyColors val="0"/>
        <c:ser>
          <c:idx val="1"/>
          <c:order val="0"/>
          <c:tx>
            <c:v>DX</c:v>
          </c:tx>
          <c:spPr>
            <a:solidFill>
              <a:schemeClr val="accent2"/>
            </a:solidFill>
            <a:ln w="38100"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Annual CO2 Emission '!$A$4</c:f>
              <c:numCache>
                <c:formatCode>#,##0</c:formatCode>
                <c:ptCount val="1"/>
                <c:pt idx="0">
                  <c:v>352468.14600000001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D6-504D-A786-054B1AF9E3FE}"/>
            </c:ext>
          </c:extLst>
        </c:ser>
        <c:ser>
          <c:idx val="0"/>
          <c:order val="1"/>
          <c:tx>
            <c:v>VRF</c:v>
          </c:tx>
          <c:spPr>
            <a:solidFill>
              <a:schemeClr val="accent1"/>
            </a:solidFill>
            <a:ln w="38100"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Annual CO2 Emission '!$B$4</c:f>
              <c:numCache>
                <c:formatCode>#,##0</c:formatCode>
                <c:ptCount val="1"/>
                <c:pt idx="0">
                  <c:v>269051.84999999998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D6-504D-A786-054B1AF9E3FE}"/>
            </c:ext>
          </c:extLst>
        </c:ser>
        <c:ser>
          <c:idx val="2"/>
          <c:order val="2"/>
          <c:tx>
            <c:v>DC</c:v>
          </c:tx>
          <c:spPr>
            <a:solidFill>
              <a:schemeClr val="accent3"/>
            </a:solidFill>
            <a:ln w="38100"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Annual CO2 Emission '!$C$4</c:f>
              <c:numCache>
                <c:formatCode>#,##0</c:formatCode>
                <c:ptCount val="1"/>
                <c:pt idx="0">
                  <c:v>227252.7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D6-504D-A786-054B1AF9E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21738592"/>
        <c:axId val="-321743488"/>
      </c:barChart>
      <c:catAx>
        <c:axId val="-32173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743488"/>
        <c:crosses val="autoZero"/>
        <c:auto val="1"/>
        <c:lblAlgn val="ctr"/>
        <c:lblOffset val="100"/>
        <c:noMultiLvlLbl val="0"/>
      </c:catAx>
      <c:valAx>
        <c:axId val="-32174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 i="0" u="none" strike="noStrike" baseline="0">
                    <a:solidFill>
                      <a:sysClr val="windowText" lastClr="000000"/>
                    </a:solidFill>
                    <a:effectLst/>
                    <a:latin typeface="+mn-lt"/>
                  </a:rPr>
                  <a:t>CO</a:t>
                </a:r>
                <a:r>
                  <a:rPr lang="en-US" sz="2000" b="1" i="0" u="none" strike="noStrike" baseline="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</a:rPr>
                  <a:t>₂</a:t>
                </a:r>
                <a:r>
                  <a:rPr lang="en-US" sz="2000" b="1" i="0" u="none" strike="noStrike" baseline="0">
                    <a:solidFill>
                      <a:sysClr val="windowText" lastClr="000000"/>
                    </a:solidFill>
                    <a:effectLst/>
                    <a:latin typeface="+mn-lt"/>
                  </a:rPr>
                  <a:t> Emission  (kg)</a:t>
                </a:r>
                <a:r>
                  <a:rPr lang="en-US" sz="2000" b="1" i="0" u="none" strike="noStrike" baseline="0">
                    <a:solidFill>
                      <a:sysClr val="windowText" lastClr="000000"/>
                    </a:solidFill>
                    <a:latin typeface="+mn-lt"/>
                  </a:rPr>
                  <a:t> </a:t>
                </a:r>
                <a:endParaRPr lang="en-US" sz="2000" b="1">
                  <a:solidFill>
                    <a:sysClr val="windowText" lastClr="000000"/>
                  </a:solidFill>
                  <a:latin typeface="+mn-lt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645045664118476E-2"/>
              <c:y val="0.34221847269091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7385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3399530066626566E-2"/>
                <c:y val="8.8041153946665771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 w="28575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4403814494789507"/>
          <c:y val="0.10067900603333671"/>
          <c:w val="0.25448862642169728"/>
          <c:h val="5.5848925327223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 Accumlated Total Cost</a:t>
            </a:r>
          </a:p>
        </c:rich>
      </c:tx>
      <c:layout>
        <c:manualLayout>
          <c:xMode val="edge"/>
          <c:yMode val="edge"/>
          <c:x val="0.35667776228040388"/>
          <c:y val="6.239738887743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RTU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8575" cap="rnd">
                <a:solidFill>
                  <a:schemeClr val="accent2"/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'24 Years Cost of  DX'!$A$16:$A$39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'24 Years Cost of  DX'!$I$16:$I$39</c:f>
              <c:numCache>
                <c:formatCode>#,##0</c:formatCode>
                <c:ptCount val="24"/>
                <c:pt idx="0">
                  <c:v>1193.7140730863891</c:v>
                </c:pt>
                <c:pt idx="1">
                  <c:v>1966.2313024340178</c:v>
                </c:pt>
                <c:pt idx="2">
                  <c:v>2748.2520992068053</c:v>
                </c:pt>
                <c:pt idx="3">
                  <c:v>3539.9190892761285</c:v>
                </c:pt>
                <c:pt idx="4">
                  <c:v>4341.3769288214353</c:v>
                </c:pt>
                <c:pt idx="5">
                  <c:v>5152.7724804048657</c:v>
                </c:pt>
                <c:pt idx="6">
                  <c:v>5974.2548095269922</c:v>
                </c:pt>
                <c:pt idx="7">
                  <c:v>6805.9752176708944</c:v>
                </c:pt>
                <c:pt idx="8">
                  <c:v>8132.3922159263739</c:v>
                </c:pt>
                <c:pt idx="9">
                  <c:v>8985.0516786948883</c:v>
                </c:pt>
                <c:pt idx="10">
                  <c:v>9848.4168667498743</c:v>
                </c:pt>
                <c:pt idx="11">
                  <c:v>10722.64850997063</c:v>
                </c:pt>
                <c:pt idx="12">
                  <c:v>11607.909471024639</c:v>
                </c:pt>
                <c:pt idx="13">
                  <c:v>12504.365021499403</c:v>
                </c:pt>
                <c:pt idx="14">
                  <c:v>13412.183238576234</c:v>
                </c:pt>
                <c:pt idx="15">
                  <c:v>14331.53475425416</c:v>
                </c:pt>
                <c:pt idx="16">
                  <c:v>15808.248998530184</c:v>
                </c:pt>
                <c:pt idx="17">
                  <c:v>16751.188120156337</c:v>
                </c:pt>
                <c:pt idx="18">
                  <c:v>17706.187161951828</c:v>
                </c:pt>
                <c:pt idx="19">
                  <c:v>18673.427022719196</c:v>
                </c:pt>
                <c:pt idx="20">
                  <c:v>19653.091314743018</c:v>
                </c:pt>
                <c:pt idx="21">
                  <c:v>20645.366404492142</c:v>
                </c:pt>
                <c:pt idx="22">
                  <c:v>21650.441453932446</c:v>
                </c:pt>
                <c:pt idx="23">
                  <c:v>22668.5084624593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BA-CF40-824B-29A47BF4C72E}"/>
            </c:ext>
          </c:extLst>
        </c:ser>
        <c:ser>
          <c:idx val="1"/>
          <c:order val="1"/>
          <c:tx>
            <c:v>VRF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name>                     </c:name>
            <c:spPr>
              <a:ln w="28575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'24 Years Cost of  VRF'!$A$16:$A$39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'24 Years Cost of  VRF'!$I$16:$I$39</c:f>
              <c:numCache>
                <c:formatCode>#,##0</c:formatCode>
                <c:ptCount val="24"/>
                <c:pt idx="0">
                  <c:v>2125.7368271665855</c:v>
                </c:pt>
                <c:pt idx="1">
                  <c:v>2768.5479465466906</c:v>
                </c:pt>
                <c:pt idx="2">
                  <c:v>3418.9454363435184</c:v>
                </c:pt>
                <c:pt idx="3">
                  <c:v>4077.0431644733198</c:v>
                </c:pt>
                <c:pt idx="4">
                  <c:v>4742.9565977910897</c:v>
                </c:pt>
                <c:pt idx="5">
                  <c:v>5416.8029716946467</c:v>
                </c:pt>
                <c:pt idx="6">
                  <c:v>6098.7012801127785</c:v>
                </c:pt>
                <c:pt idx="7">
                  <c:v>6788.7723018832039</c:v>
                </c:pt>
                <c:pt idx="8">
                  <c:v>7487.1385195262064</c:v>
                </c:pt>
                <c:pt idx="9">
                  <c:v>8193.924458419875</c:v>
                </c:pt>
                <c:pt idx="10">
                  <c:v>8909.2564143829695</c:v>
                </c:pt>
                <c:pt idx="11">
                  <c:v>9633.2627216715318</c:v>
                </c:pt>
                <c:pt idx="12">
                  <c:v>12147.470684141714</c:v>
                </c:pt>
                <c:pt idx="13">
                  <c:v>12889.217553107506</c:v>
                </c:pt>
                <c:pt idx="14">
                  <c:v>13640.034853093806</c:v>
                </c:pt>
                <c:pt idx="15">
                  <c:v>14400.058832565923</c:v>
                </c:pt>
                <c:pt idx="16">
                  <c:v>15169.427204836142</c:v>
                </c:pt>
                <c:pt idx="17">
                  <c:v>15948.280330676434</c:v>
                </c:pt>
                <c:pt idx="18">
                  <c:v>16736.760481390353</c:v>
                </c:pt>
                <c:pt idx="19">
                  <c:v>17535.012062351001</c:v>
                </c:pt>
                <c:pt idx="20">
                  <c:v>18343.181645012079</c:v>
                </c:pt>
                <c:pt idx="21">
                  <c:v>19161.417999399095</c:v>
                </c:pt>
                <c:pt idx="22">
                  <c:v>19989.872127087936</c:v>
                </c:pt>
                <c:pt idx="23">
                  <c:v>20828.697294678132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BA-CF40-824B-29A47BF4C72E}"/>
            </c:ext>
          </c:extLst>
        </c:ser>
        <c:ser>
          <c:idx val="2"/>
          <c:order val="2"/>
          <c:tx>
            <c:v>DC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28575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'24 Years Cost of  DC '!$A$16:$A$39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'24 Years Cost of  DC '!$I$16:$I$39</c:f>
              <c:numCache>
                <c:formatCode>0</c:formatCode>
                <c:ptCount val="24"/>
                <c:pt idx="0">
                  <c:v>3051.0024728109979</c:v>
                </c:pt>
                <c:pt idx="1">
                  <c:v>3588.7371800143092</c:v>
                </c:pt>
                <c:pt idx="2">
                  <c:v>4133.4873177458194</c:v>
                </c:pt>
                <c:pt idx="3">
                  <c:v>4685.3580692834512</c:v>
                </c:pt>
                <c:pt idx="4">
                  <c:v>5244.4562803742956</c:v>
                </c:pt>
                <c:pt idx="5">
                  <c:v>5810.8903629116521</c:v>
                </c:pt>
                <c:pt idx="6">
                  <c:v>6384.7703549672178</c:v>
                </c:pt>
                <c:pt idx="7">
                  <c:v>6966.2079451837662</c:v>
                </c:pt>
                <c:pt idx="8">
                  <c:v>7555.3164975337113</c:v>
                </c:pt>
                <c:pt idx="9">
                  <c:v>8152.2110764490544</c:v>
                </c:pt>
                <c:pt idx="10">
                  <c:v>8757.0084723282762</c:v>
                </c:pt>
                <c:pt idx="11">
                  <c:v>9369.8272274258361</c:v>
                </c:pt>
                <c:pt idx="12">
                  <c:v>9990.7876621300074</c:v>
                </c:pt>
                <c:pt idx="13">
                  <c:v>10620.011901634891</c:v>
                </c:pt>
                <c:pt idx="14">
                  <c:v>11257.623903012496</c:v>
                </c:pt>
                <c:pt idx="15">
                  <c:v>11903.749482690915</c:v>
                </c:pt>
                <c:pt idx="16">
                  <c:v>12558.516344344658</c:v>
                </c:pt>
                <c:pt idx="17">
                  <c:v>13222.054107203357</c:v>
                </c:pt>
                <c:pt idx="18">
                  <c:v>13894.494334785086</c:v>
                </c:pt>
                <c:pt idx="19">
                  <c:v>14575.970564060688</c:v>
                </c:pt>
                <c:pt idx="20">
                  <c:v>15266.618335055573</c:v>
                </c:pt>
                <c:pt idx="21">
                  <c:v>15966.575220895531</c:v>
                </c:pt>
                <c:pt idx="22">
                  <c:v>16675.980858303235</c:v>
                </c:pt>
                <c:pt idx="23">
                  <c:v>17394.976978552208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BA-CF40-824B-29A47BF4C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21737504"/>
        <c:axId val="-321745120"/>
      </c:scatterChart>
      <c:valAx>
        <c:axId val="-32173750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745120"/>
        <c:crosses val="autoZero"/>
        <c:crossBetween val="midCat"/>
      </c:valAx>
      <c:valAx>
        <c:axId val="-321745120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</a:t>
                </a:r>
                <a:r>
                  <a:rPr lang="en-US"/>
                  <a:t> Cost (M$)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73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108853823041652"/>
          <c:y val="0.21704439110052393"/>
          <c:w val="0.56693362429894933"/>
          <c:h val="8.497577931442518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2384481833756"/>
          <c:y val="6.8382336695593904E-2"/>
          <c:w val="0.85786042648424476"/>
          <c:h val="0.82462186291138739"/>
        </c:manualLayout>
      </c:layout>
      <c:barChart>
        <c:barDir val="col"/>
        <c:grouping val="stacked"/>
        <c:varyColors val="0"/>
        <c:ser>
          <c:idx val="0"/>
          <c:order val="0"/>
          <c:tx>
            <c:v>DC</c:v>
          </c:tx>
          <c:spPr>
            <a:solidFill>
              <a:schemeClr val="accent1"/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4.2526791127869848E-2"/>
                  <c:y val="-4.84848484848484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'24 Years Cost of  DC '!$B$14:$F$14</c:f>
              <c:strCache>
                <c:ptCount val="5"/>
                <c:pt idx="0">
                  <c:v>Power Station</c:v>
                </c:pt>
                <c:pt idx="1">
                  <c:v>Insurance</c:v>
                </c:pt>
                <c:pt idx="2">
                  <c:v>Electric Utility</c:v>
                </c:pt>
                <c:pt idx="3">
                  <c:v>System</c:v>
                </c:pt>
                <c:pt idx="4">
                  <c:v>Running</c:v>
                </c:pt>
              </c:strCache>
            </c:strRef>
          </c:cat>
          <c:val>
            <c:numRef>
              <c:f>'24 Years Cost of  DC '!$B$41:$F$41</c:f>
              <c:numCache>
                <c:formatCode>"$"#,##0</c:formatCode>
                <c:ptCount val="5"/>
                <c:pt idx="0" formatCode="&quot;$&quot;#,##0_);[Red]\(&quot;$&quot;#,##0\)">
                  <c:v>1680962751.7616534</c:v>
                </c:pt>
                <c:pt idx="1">
                  <c:v>254731097.96114618</c:v>
                </c:pt>
                <c:pt idx="2">
                  <c:v>10562055795.222736</c:v>
                </c:pt>
                <c:pt idx="3" formatCode="&quot;$&quot;#,##0_);[Red]\(&quot;$&quot;#,##0\)">
                  <c:v>2520179520</c:v>
                </c:pt>
                <c:pt idx="4">
                  <c:v>2377047741.6066732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9-DA4E-804C-B68A9956C4B4}"/>
            </c:ext>
          </c:extLst>
        </c:ser>
        <c:ser>
          <c:idx val="1"/>
          <c:order val="1"/>
          <c:tx>
            <c:v>VRF</c:v>
          </c:tx>
          <c:spPr>
            <a:solidFill>
              <a:schemeClr val="accent2"/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5.3768884880997066E-17"/>
                  <c:y val="-3.83838383838385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'24 Years Cost of  DC '!$B$14:$F$14</c:f>
              <c:strCache>
                <c:ptCount val="5"/>
                <c:pt idx="0">
                  <c:v>Power Station</c:v>
                </c:pt>
                <c:pt idx="1">
                  <c:v>Insurance</c:v>
                </c:pt>
                <c:pt idx="2">
                  <c:v>Electric Utility</c:v>
                </c:pt>
                <c:pt idx="3">
                  <c:v>System</c:v>
                </c:pt>
                <c:pt idx="4">
                  <c:v>Running</c:v>
                </c:pt>
              </c:strCache>
            </c:strRef>
          </c:cat>
          <c:val>
            <c:numRef>
              <c:f>'24 Years Cost of  VRF'!$B$41:$F$41</c:f>
              <c:numCache>
                <c:formatCode>"$"#,##0_);[Red]\("$"#,##0\)</c:formatCode>
                <c:ptCount val="5"/>
                <c:pt idx="0">
                  <c:v>3289235222.366045</c:v>
                </c:pt>
                <c:pt idx="1">
                  <c:v>498446797.0915401</c:v>
                </c:pt>
                <c:pt idx="2">
                  <c:v>12504760786.155228</c:v>
                </c:pt>
                <c:pt idx="3">
                  <c:v>3271797322.7462697</c:v>
                </c:pt>
                <c:pt idx="4">
                  <c:v>1264456278.3190479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9-DA4E-804C-B68A9956C4B4}"/>
            </c:ext>
          </c:extLst>
        </c:ser>
        <c:ser>
          <c:idx val="2"/>
          <c:order val="2"/>
          <c:tx>
            <c:v>RTU</c:v>
          </c:tx>
          <c:spPr>
            <a:solidFill>
              <a:schemeClr val="accent3"/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124084008367717E-2"/>
                  <c:y val="-3.23232323232323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'24 Years Cost of  DC '!$B$14:$F$14</c:f>
              <c:strCache>
                <c:ptCount val="5"/>
                <c:pt idx="0">
                  <c:v>Power Station</c:v>
                </c:pt>
                <c:pt idx="1">
                  <c:v>Insurance</c:v>
                </c:pt>
                <c:pt idx="2">
                  <c:v>Electric Utility</c:v>
                </c:pt>
                <c:pt idx="3">
                  <c:v>System</c:v>
                </c:pt>
                <c:pt idx="4">
                  <c:v>Running</c:v>
                </c:pt>
              </c:strCache>
            </c:strRef>
          </c:cat>
          <c:val>
            <c:numRef>
              <c:f>'24 Years Cost of  DX'!$B$41:$F$41</c:f>
              <c:numCache>
                <c:formatCode>"$"#,##0</c:formatCode>
                <c:ptCount val="5"/>
                <c:pt idx="0" formatCode="&quot;$&quot;#,##0_);[Red]\(&quot;$&quot;#,##0\)">
                  <c:v>3334666648.0893345</c:v>
                </c:pt>
                <c:pt idx="1">
                  <c:v>505331421.36076015</c:v>
                </c:pt>
                <c:pt idx="2">
                  <c:v>16381711742.437883</c:v>
                </c:pt>
                <c:pt idx="3" formatCode="&quot;$&quot;#,##0_);[Red]\(&quot;$&quot;#,##0\)">
                  <c:v>1460521865.4824595</c:v>
                </c:pt>
                <c:pt idx="4" formatCode="&quot;$&quot;#,##0_);[Red]\(&quot;$&quot;#,##0\)">
                  <c:v>986275897.08885741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49-DA4E-804C-B68A9956C4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-321734240"/>
        <c:axId val="-321741856"/>
      </c:barChart>
      <c:catAx>
        <c:axId val="-321734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Components Cost</a:t>
                </a:r>
              </a:p>
            </c:rich>
          </c:tx>
          <c:layout>
            <c:manualLayout>
              <c:xMode val="edge"/>
              <c:yMode val="edge"/>
              <c:x val="0.47674882189062762"/>
              <c:y val="0.95719424100222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741856"/>
        <c:crosses val="autoZero"/>
        <c:auto val="1"/>
        <c:lblAlgn val="ctr"/>
        <c:lblOffset val="100"/>
        <c:noMultiLvlLbl val="0"/>
      </c:catAx>
      <c:valAx>
        <c:axId val="-32174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Cost</a:t>
                </a:r>
                <a:r>
                  <a:rPr lang="en-US" sz="1600" b="1" baseline="0">
                    <a:solidFill>
                      <a:sysClr val="windowText" lastClr="000000"/>
                    </a:solidFill>
                  </a:rPr>
                  <a:t> of main component over 24 year ($Billion)</a:t>
                </a:r>
                <a:endParaRPr lang="en-US" sz="16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3188385832885991E-2"/>
              <c:y val="0.180317505766324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734240"/>
        <c:crosses val="autoZero"/>
        <c:crossBetween val="between"/>
        <c:dispUnits>
          <c:builtInUnit val="billions"/>
        </c:dispUnits>
      </c:valAx>
      <c:spPr>
        <a:noFill/>
        <a:ln w="19050"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17255930922703336"/>
          <c:y val="9.083968774036158E-2"/>
          <c:w val="0.16217452745845615"/>
          <c:h val="4.13896771463717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57029172311457"/>
          <c:y val="9.2370194006863235E-2"/>
          <c:w val="0.86282931128454299"/>
          <c:h val="0.72695011211150717"/>
        </c:manualLayout>
      </c:layout>
      <c:barChart>
        <c:barDir val="col"/>
        <c:grouping val="clustered"/>
        <c:varyColors val="0"/>
        <c:ser>
          <c:idx val="0"/>
          <c:order val="0"/>
          <c:tx>
            <c:v>Actual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24 Years DC-1'!$A$2:$A$13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'Graph 24 Years DC-1'!$B$2:$B$13</c:f>
              <c:numCache>
                <c:formatCode>0</c:formatCode>
                <c:ptCount val="12"/>
                <c:pt idx="0" formatCode="General">
                  <c:v>3485.2000000000044</c:v>
                </c:pt>
                <c:pt idx="1">
                  <c:v>3545.4000000000015</c:v>
                </c:pt>
                <c:pt idx="2">
                  <c:v>4921.0413999999928</c:v>
                </c:pt>
                <c:pt idx="3">
                  <c:v>10240.339999999995</c:v>
                </c:pt>
                <c:pt idx="4">
                  <c:v>18687.799999999988</c:v>
                </c:pt>
                <c:pt idx="5">
                  <c:v>21483.300000000017</c:v>
                </c:pt>
                <c:pt idx="6">
                  <c:v>23623.399999999998</c:v>
                </c:pt>
                <c:pt idx="7">
                  <c:v>22711.599999999977</c:v>
                </c:pt>
                <c:pt idx="8">
                  <c:v>17835.100000000039</c:v>
                </c:pt>
                <c:pt idx="9">
                  <c:v>13582.899999999965</c:v>
                </c:pt>
                <c:pt idx="10">
                  <c:v>7323.6000000000349</c:v>
                </c:pt>
                <c:pt idx="11">
                  <c:v>4141.5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79-C34B-A2B8-400192C9A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13860096"/>
        <c:axId val="-413854112"/>
      </c:barChart>
      <c:catAx>
        <c:axId val="-41386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Months</a:t>
                </a:r>
              </a:p>
            </c:rich>
          </c:tx>
          <c:layout>
            <c:manualLayout>
              <c:xMode val="edge"/>
              <c:yMode val="edge"/>
              <c:x val="0.51833719509747433"/>
              <c:y val="0.9151563113434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3854112"/>
        <c:crosses val="autoZero"/>
        <c:auto val="1"/>
        <c:lblAlgn val="ctr"/>
        <c:lblOffset val="100"/>
        <c:noMultiLvlLbl val="0"/>
      </c:catAx>
      <c:valAx>
        <c:axId val="-4138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4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Energy Consumption (kWh)</a:t>
                </a:r>
              </a:p>
            </c:rich>
          </c:tx>
          <c:layout>
            <c:manualLayout>
              <c:xMode val="edge"/>
              <c:yMode val="edge"/>
              <c:x val="9.6017216997781752E-3"/>
              <c:y val="0.28305538278303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3860096"/>
        <c:crosses val="autoZero"/>
        <c:crossBetween val="between"/>
      </c:valAx>
      <c:spPr>
        <a:noFill/>
        <a:ln w="190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1803942025492676"/>
          <c:y val="0.12442175633907221"/>
          <c:w val="0.12921436906340941"/>
          <c:h val="3.7815390723218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Energy</a:t>
            </a:r>
            <a:r>
              <a:rPr lang="en-US" sz="1600" b="1" baseline="0"/>
              <a:t> Performance of a Typical House 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128566802770518E-2"/>
          <c:y val="8.7931396817123184E-2"/>
          <c:w val="0.88616063413337121"/>
          <c:h val="0.8005221045528425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'Graph 24 Years DC-1'!$A$37</c:f>
              <c:strCache>
                <c:ptCount val="1"/>
                <c:pt idx="0">
                  <c:v>Power Station Insurance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24 Years DC-1'!$B$35:$M$35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'Graph 24 Years DC-1'!$B$37:$M$37</c:f>
              <c:numCache>
                <c:formatCode>0</c:formatCode>
                <c:ptCount val="12"/>
                <c:pt idx="0">
                  <c:v>1463.0999999999995</c:v>
                </c:pt>
                <c:pt idx="1">
                  <c:v>1159.5000000000002</c:v>
                </c:pt>
                <c:pt idx="2">
                  <c:v>1045.0423999999996</c:v>
                </c:pt>
                <c:pt idx="3">
                  <c:v>960.73999999999978</c:v>
                </c:pt>
                <c:pt idx="4">
                  <c:v>1132.8000000000002</c:v>
                </c:pt>
                <c:pt idx="5">
                  <c:v>997.60000000000218</c:v>
                </c:pt>
                <c:pt idx="6">
                  <c:v>978.59999999999673</c:v>
                </c:pt>
                <c:pt idx="7">
                  <c:v>940.20000000000209</c:v>
                </c:pt>
                <c:pt idx="8">
                  <c:v>918.60000000000127</c:v>
                </c:pt>
                <c:pt idx="9">
                  <c:v>1032.400000000001</c:v>
                </c:pt>
                <c:pt idx="10">
                  <c:v>1038.5</c:v>
                </c:pt>
                <c:pt idx="11">
                  <c:v>1083.8999999999996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55-4541-941A-1BDD82AE6284}"/>
            </c:ext>
          </c:extLst>
        </c:ser>
        <c:ser>
          <c:idx val="3"/>
          <c:order val="1"/>
          <c:tx>
            <c:strRef>
              <c:f>'Graph 24 Years DC-1'!$A$38</c:f>
              <c:strCache>
                <c:ptCount val="1"/>
                <c:pt idx="0">
                  <c:v>Electric Utility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 24 Years DC-1'!$B$35:$M$35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'Graph 24 Years DC-1'!$B$38:$M$38</c:f>
              <c:numCache>
                <c:formatCode>0</c:formatCode>
                <c:ptCount val="12"/>
                <c:pt idx="0" formatCode="General">
                  <c:v>1358.1999999999998</c:v>
                </c:pt>
                <c:pt idx="1">
                  <c:v>1302.2999999999993</c:v>
                </c:pt>
                <c:pt idx="2">
                  <c:v>1707.2049999999999</c:v>
                </c:pt>
                <c:pt idx="3">
                  <c:v>1491.9299999999994</c:v>
                </c:pt>
                <c:pt idx="4">
                  <c:v>1356.4000000000015</c:v>
                </c:pt>
                <c:pt idx="5">
                  <c:v>1125.7999999999993</c:v>
                </c:pt>
                <c:pt idx="6">
                  <c:v>282.29999999999927</c:v>
                </c:pt>
                <c:pt idx="7">
                  <c:v>73.5</c:v>
                </c:pt>
                <c:pt idx="8">
                  <c:v>70.900000000001455</c:v>
                </c:pt>
                <c:pt idx="9">
                  <c:v>1269.5</c:v>
                </c:pt>
                <c:pt idx="10">
                  <c:v>1582.5999999999985</c:v>
                </c:pt>
                <c:pt idx="11">
                  <c:v>2023.2000000000044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55-4541-941A-1BDD82AE6284}"/>
            </c:ext>
          </c:extLst>
        </c:ser>
        <c:ser>
          <c:idx val="0"/>
          <c:order val="2"/>
          <c:tx>
            <c:strRef>
              <c:f>'Graph 24 Years DC-1'!$A$39</c:f>
              <c:strCache>
                <c:ptCount val="1"/>
                <c:pt idx="0">
                  <c:v>DC System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24 Years DC-1'!$B$35:$M$35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'Graph 24 Years DC-1'!$B$39:$M$39</c:f>
              <c:numCache>
                <c:formatCode>0</c:formatCode>
                <c:ptCount val="12"/>
                <c:pt idx="0">
                  <c:v>330.60000000000355</c:v>
                </c:pt>
                <c:pt idx="1">
                  <c:v>179.39999999999964</c:v>
                </c:pt>
                <c:pt idx="2">
                  <c:v>239.56039999998839</c:v>
                </c:pt>
                <c:pt idx="3">
                  <c:v>447.69999999998805</c:v>
                </c:pt>
                <c:pt idx="4">
                  <c:v>854.69999999998618</c:v>
                </c:pt>
                <c:pt idx="5">
                  <c:v>955.70000000002619</c:v>
                </c:pt>
                <c:pt idx="6">
                  <c:v>1256.6999999999825</c:v>
                </c:pt>
                <c:pt idx="7">
                  <c:v>1289.7999999999884</c:v>
                </c:pt>
                <c:pt idx="8">
                  <c:v>1159.2000000000371</c:v>
                </c:pt>
                <c:pt idx="9">
                  <c:v>230.29999999995198</c:v>
                </c:pt>
                <c:pt idx="10">
                  <c:v>227.70000000005166</c:v>
                </c:pt>
                <c:pt idx="11">
                  <c:v>171.59999999999309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455-4541-941A-1BDD82AE6284}"/>
            </c:ext>
          </c:extLst>
        </c:ser>
        <c:ser>
          <c:idx val="1"/>
          <c:order val="3"/>
          <c:tx>
            <c:strRef>
              <c:f>'Graph 24 Years DC-1'!$A$36</c:f>
              <c:strCache>
                <c:ptCount val="1"/>
                <c:pt idx="0">
                  <c:v>Power Station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24 Years DC-1'!$B$35:$M$35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'Graph 24 Years DC-1'!$B$36:$M$36</c:f>
              <c:numCache>
                <c:formatCode>0</c:formatCode>
                <c:ptCount val="12"/>
                <c:pt idx="0">
                  <c:v>333.30000000000155</c:v>
                </c:pt>
                <c:pt idx="1">
                  <c:v>904.20000000000209</c:v>
                </c:pt>
                <c:pt idx="2">
                  <c:v>1929.233600000005</c:v>
                </c:pt>
                <c:pt idx="3">
                  <c:v>7339.9700000000066</c:v>
                </c:pt>
                <c:pt idx="4">
                  <c:v>15343.900000000001</c:v>
                </c:pt>
                <c:pt idx="5">
                  <c:v>18404.19999999999</c:v>
                </c:pt>
                <c:pt idx="6">
                  <c:v>21105.800000000017</c:v>
                </c:pt>
                <c:pt idx="7">
                  <c:v>20408.099999999988</c:v>
                </c:pt>
                <c:pt idx="8">
                  <c:v>15686.399999999998</c:v>
                </c:pt>
                <c:pt idx="9">
                  <c:v>11050.700000000012</c:v>
                </c:pt>
                <c:pt idx="10">
                  <c:v>4474.7999999999847</c:v>
                </c:pt>
                <c:pt idx="11">
                  <c:v>862.80000000000291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55-4541-941A-1BDD82AE6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413862272"/>
        <c:axId val="-413853568"/>
      </c:barChart>
      <c:catAx>
        <c:axId val="-41386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3853568"/>
        <c:crosses val="autoZero"/>
        <c:auto val="1"/>
        <c:lblAlgn val="ctr"/>
        <c:lblOffset val="100"/>
        <c:noMultiLvlLbl val="0"/>
      </c:catAx>
      <c:valAx>
        <c:axId val="-4138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Energy consumption (kWh)</a:t>
                </a:r>
              </a:p>
            </c:rich>
          </c:tx>
          <c:layout>
            <c:manualLayout>
              <c:xMode val="edge"/>
              <c:yMode val="edge"/>
              <c:x val="6.6867268472082918E-3"/>
              <c:y val="0.313953211732429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3862272"/>
        <c:crosses val="autoZero"/>
        <c:crossBetween val="between"/>
      </c:valAx>
      <c:spPr>
        <a:noFill/>
        <a:ln w="19050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83241588281906"/>
          <c:y val="0.11216019857563937"/>
          <c:w val="0.34679345121980115"/>
          <c:h val="4.693227528218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Energy Distribution of a Typical House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753901918022512E-2"/>
          <c:y val="6.6771483092495823E-2"/>
          <c:w val="0.95119060727526472"/>
          <c:h val="0.87268911367826318"/>
        </c:manualLayout>
      </c:layout>
      <c:pie3DChart>
        <c:varyColors val="1"/>
        <c:ser>
          <c:idx val="0"/>
          <c:order val="0"/>
          <c:tx>
            <c:v> </c:v>
          </c:tx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8E-7B4A-B7C9-1160813C4DF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8E-7B4A-B7C9-1160813C4DF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8E-7B4A-B7C9-1160813C4DF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E8E-7B4A-B7C9-1160813C4DF7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906-D044-9713-179C5ABC5CE3}"/>
              </c:ext>
            </c:extLst>
          </c:dPt>
          <c:dLbls>
            <c:dLbl>
              <c:idx val="0"/>
              <c:layout>
                <c:manualLayout>
                  <c:x val="-9.2230959601179899E-2"/>
                  <c:y val="-0.1885846203227855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E8E-7B4A-B7C9-1160813C4DF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 24 Years DC-1'!$A$36:$A$40</c:f>
              <c:strCache>
                <c:ptCount val="5"/>
                <c:pt idx="0">
                  <c:v>Power Station    </c:v>
                </c:pt>
                <c:pt idx="1">
                  <c:v>Power Station Insurance   </c:v>
                </c:pt>
                <c:pt idx="2">
                  <c:v>Electric Utility    </c:v>
                </c:pt>
                <c:pt idx="3">
                  <c:v>DC System Cost</c:v>
                </c:pt>
                <c:pt idx="4">
                  <c:v>  DC Running Cost</c:v>
                </c:pt>
              </c:strCache>
            </c:strRef>
          </c:cat>
          <c:val>
            <c:numRef>
              <c:f>'Graph 24 Years DC-1'!$P$36:$P$40</c:f>
              <c:numCache>
                <c:formatCode>0.0</c:formatCode>
                <c:ptCount val="5"/>
                <c:pt idx="0">
                  <c:v>9.6634951618043292</c:v>
                </c:pt>
                <c:pt idx="1">
                  <c:v>1.4643945739600033</c:v>
                </c:pt>
                <c:pt idx="2">
                  <c:v>60.718998662448925</c:v>
                </c:pt>
                <c:pt idx="3">
                  <c:v>14.487972783974881</c:v>
                </c:pt>
                <c:pt idx="4">
                  <c:v>13.665138817811851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E8E-7B4A-B7C9-1160813C4DF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24 Years VRF Cooling System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F9-AC4C-8BF5-7572E384AC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F9-AC4C-8BF5-7572E384AC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1F9-AC4C-8BF5-7572E384AC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1F9-AC4C-8BF5-7572E384AC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1F9-AC4C-8BF5-7572E384ACC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 24 Yers VRF'!$A$4:$E$4</c:f>
              <c:strCache>
                <c:ptCount val="5"/>
                <c:pt idx="0">
                  <c:v>Power Station    </c:v>
                </c:pt>
                <c:pt idx="1">
                  <c:v>Power Station Insurance   </c:v>
                </c:pt>
                <c:pt idx="2">
                  <c:v>Electric Utility    </c:v>
                </c:pt>
                <c:pt idx="3">
                  <c:v>VRF System Cost</c:v>
                </c:pt>
                <c:pt idx="4">
                  <c:v>  VRF Running Cost</c:v>
                </c:pt>
              </c:strCache>
            </c:strRef>
          </c:cat>
          <c:val>
            <c:numRef>
              <c:f>'Graph 24 Yers VRF'!$A$5:$E$5</c:f>
              <c:numCache>
                <c:formatCode>"$"#,##0</c:formatCode>
                <c:ptCount val="5"/>
                <c:pt idx="0" formatCode="&quot;$&quot;#,##0_);[Red]\(&quot;$&quot;#,##0\)">
                  <c:v>274102935.19717044</c:v>
                </c:pt>
                <c:pt idx="1">
                  <c:v>41537233.090961672</c:v>
                </c:pt>
                <c:pt idx="2">
                  <c:v>1042063398.846269</c:v>
                </c:pt>
                <c:pt idx="3" formatCode="&quot;$&quot;#,##0_);[Red]\(&quot;$&quot;#,##0\)">
                  <c:v>272649776.89552248</c:v>
                </c:pt>
                <c:pt idx="4">
                  <c:v>105371356.52658734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1F9-AC4C-8BF5-7572E384ACC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 Years DX Cooling System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54-5B4C-88E5-C8F974AB85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54-5B4C-88E5-C8F974AB85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54-5B4C-88E5-C8F974AB85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54-5B4C-88E5-C8F974AB85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754-5B4C-88E5-C8F974AB85A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'Graph 24 Yers DX'!$A$4:$E$4</c:f>
              <c:strCache>
                <c:ptCount val="5"/>
                <c:pt idx="0">
                  <c:v>Power Station    </c:v>
                </c:pt>
                <c:pt idx="1">
                  <c:v>Power Station Insurance   </c:v>
                </c:pt>
                <c:pt idx="2">
                  <c:v>Electric Utility    </c:v>
                </c:pt>
                <c:pt idx="3">
                  <c:v>DX System Cost</c:v>
                </c:pt>
                <c:pt idx="4">
                  <c:v>  DX Running Cost</c:v>
                </c:pt>
              </c:strCache>
            </c:strRef>
          </c:cat>
          <c:val>
            <c:numRef>
              <c:f>'Graph 24 Yers DX'!$A$5:$E$5</c:f>
              <c:numCache>
                <c:formatCode>"$"#,##0</c:formatCode>
                <c:ptCount val="5"/>
                <c:pt idx="0" formatCode="&quot;$&quot;#,##0_);[Red]\(&quot;$&quot;#,##0\)">
                  <c:v>277888887.34077787</c:v>
                </c:pt>
                <c:pt idx="1">
                  <c:v>42110951.780063346</c:v>
                </c:pt>
                <c:pt idx="2">
                  <c:v>1365142645.2031569</c:v>
                </c:pt>
                <c:pt idx="3" formatCode="&quot;$&quot;#,##0_);[Red]\(&quot;$&quot;#,##0\)">
                  <c:v>121710155.45687163</c:v>
                </c:pt>
                <c:pt idx="4">
                  <c:v>82189658.090738118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754-5B4C-88E5-C8F974AB85A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44881889763776E-2"/>
          <c:y val="0.17173523764074944"/>
          <c:w val="0.88074358509593553"/>
          <c:h val="0.72695011211150717"/>
        </c:manualLayout>
      </c:layout>
      <c:barChart>
        <c:barDir val="col"/>
        <c:grouping val="clustered"/>
        <c:varyColors val="0"/>
        <c:ser>
          <c:idx val="1"/>
          <c:order val="0"/>
          <c:tx>
            <c:v>DX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24 Yeas Total Cost '!$A$4</c:f>
              <c:numCache>
                <c:formatCode>#,##0</c:formatCode>
                <c:ptCount val="1"/>
                <c:pt idx="0">
                  <c:v>22668.507574459294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05-4C4A-BC21-9F5873974781}"/>
            </c:ext>
          </c:extLst>
        </c:ser>
        <c:ser>
          <c:idx val="0"/>
          <c:order val="1"/>
          <c:tx>
            <c:v>VRF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24 Yeas Total Cost '!$B$4</c:f>
              <c:numCache>
                <c:formatCode>#,##0</c:formatCode>
                <c:ptCount val="1"/>
                <c:pt idx="0">
                  <c:v>20828.696406678129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05-4C4A-BC21-9F5873974781}"/>
            </c:ext>
          </c:extLst>
        </c:ser>
        <c:ser>
          <c:idx val="2"/>
          <c:order val="2"/>
          <c:tx>
            <c:v>DC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Cooling System Type</c:v>
              </c:pt>
            </c:strLit>
          </c:cat>
          <c:val>
            <c:numRef>
              <c:f>'Graph 24 Yeas Total Cost '!$C$4</c:f>
              <c:numCache>
                <c:formatCode>#,##0</c:formatCode>
                <c:ptCount val="1"/>
                <c:pt idx="0">
                  <c:v>17394.976906552209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05-4C4A-BC21-9F5873974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13857376"/>
        <c:axId val="-413854656"/>
      </c:barChart>
      <c:catAx>
        <c:axId val="-413857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800" b="0" i="0" u="none" strike="noStrike" baseline="0">
                    <a:effectLst/>
                  </a:rPr>
                  <a:t>24 Yeas Total Cost</a:t>
                </a:r>
                <a:r>
                  <a:rPr lang="en-US" sz="2800" b="1" i="0" u="none" strike="noStrike" baseline="0"/>
                  <a:t> </a:t>
                </a:r>
                <a:endParaRPr lang="en-US" sz="28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9865284339457568"/>
              <c:y val="6.92446398745611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3854656"/>
        <c:crosses val="autoZero"/>
        <c:auto val="1"/>
        <c:lblAlgn val="ctr"/>
        <c:lblOffset val="100"/>
        <c:noMultiLvlLbl val="0"/>
      </c:catAx>
      <c:valAx>
        <c:axId val="-41385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000" b="1" i="0" u="none" strike="noStrike" baseline="0">
                    <a:effectLst/>
                  </a:rPr>
                  <a:t>Total Cost (M$)</a:t>
                </a:r>
                <a:r>
                  <a:rPr lang="en-US" sz="1400" b="1" i="0" u="none" strike="noStrike" baseline="0"/>
                  <a:t> </a:t>
                </a:r>
                <a:endParaRPr lang="en-US" sz="14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4745714656038363E-2"/>
              <c:y val="0.44611457658701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3857376"/>
        <c:crosses val="autoZero"/>
        <c:crossBetween val="between"/>
      </c:valAx>
      <c:spPr>
        <a:noFill/>
        <a:ln w="190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67418775153105859"/>
          <c:y val="0.20457510992944061"/>
          <c:w val="0.25448862642169728"/>
          <c:h val="5.5848925327223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0" i="0" u="none" strike="noStrike" baseline="0">
                <a:effectLst/>
              </a:rPr>
              <a:t>Total Cost</a:t>
            </a:r>
            <a:r>
              <a:rPr lang="en-US" sz="2800" b="0" i="0" u="none" strike="noStrike" baseline="0"/>
              <a:t> 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10656262903846"/>
          <c:y val="0.10690620568980599"/>
          <c:w val="0.81315202688271571"/>
          <c:h val="0.77747744893957216"/>
        </c:manualLayout>
      </c:layout>
      <c:barChart>
        <c:barDir val="col"/>
        <c:grouping val="clustered"/>
        <c:varyColors val="0"/>
        <c:ser>
          <c:idx val="0"/>
          <c:order val="0"/>
          <c:tx>
            <c:v>8 Years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24 Yeas Total Cost '!$A$1:$C$1</c:f>
              <c:strCache>
                <c:ptCount val="3"/>
                <c:pt idx="0">
                  <c:v>DX</c:v>
                </c:pt>
                <c:pt idx="1">
                  <c:v>VRF </c:v>
                </c:pt>
                <c:pt idx="2">
                  <c:v>DC</c:v>
                </c:pt>
              </c:strCache>
            </c:strRef>
          </c:cat>
          <c:val>
            <c:numRef>
              <c:f>'Graph 24 Yeas Total Cost '!$A$2:$C$2</c:f>
              <c:numCache>
                <c:formatCode>#,##0</c:formatCode>
                <c:ptCount val="3"/>
                <c:pt idx="0">
                  <c:v>6805.9752176708944</c:v>
                </c:pt>
                <c:pt idx="1">
                  <c:v>6788.7723018832039</c:v>
                </c:pt>
                <c:pt idx="2">
                  <c:v>6966.2079451837662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FE-9A4B-9140-65852D7EE8C3}"/>
            </c:ext>
          </c:extLst>
        </c:ser>
        <c:ser>
          <c:idx val="1"/>
          <c:order val="1"/>
          <c:tx>
            <c:v>16 Years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 24 Yeas Total Cost '!$A$1:$C$1</c:f>
              <c:strCache>
                <c:ptCount val="3"/>
                <c:pt idx="0">
                  <c:v>DX</c:v>
                </c:pt>
                <c:pt idx="1">
                  <c:v>VRF </c:v>
                </c:pt>
                <c:pt idx="2">
                  <c:v>DC</c:v>
                </c:pt>
              </c:strCache>
            </c:strRef>
          </c:cat>
          <c:val>
            <c:numRef>
              <c:f>'Graph 24 Yeas Total Cost '!$A$3:$C$3</c:f>
              <c:numCache>
                <c:formatCode>#,##0</c:formatCode>
                <c:ptCount val="3"/>
                <c:pt idx="0">
                  <c:v>14331.53475425416</c:v>
                </c:pt>
                <c:pt idx="1">
                  <c:v>14400.058832565923</c:v>
                </c:pt>
                <c:pt idx="2">
                  <c:v>11903.749482690915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FE-9A4B-9140-65852D7EE8C3}"/>
            </c:ext>
          </c:extLst>
        </c:ser>
        <c:ser>
          <c:idx val="2"/>
          <c:order val="2"/>
          <c:tx>
            <c:v>24 Years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24 Yeas Total Cost '!$A$1:$C$1</c:f>
              <c:strCache>
                <c:ptCount val="3"/>
                <c:pt idx="0">
                  <c:v>DX</c:v>
                </c:pt>
                <c:pt idx="1">
                  <c:v>VRF </c:v>
                </c:pt>
                <c:pt idx="2">
                  <c:v>DC</c:v>
                </c:pt>
              </c:strCache>
            </c:strRef>
          </c:cat>
          <c:val>
            <c:numRef>
              <c:f>'Graph 24 Yeas Total Cost '!$A$4:$C$4</c:f>
              <c:numCache>
                <c:formatCode>#,##0</c:formatCode>
                <c:ptCount val="3"/>
                <c:pt idx="0">
                  <c:v>22668.507574459294</c:v>
                </c:pt>
                <c:pt idx="1">
                  <c:v>20828.696406678129</c:v>
                </c:pt>
                <c:pt idx="2">
                  <c:v>17394.976906552209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FE-9A4B-9140-65852D7EE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13850304"/>
        <c:axId val="-413847584"/>
      </c:barChart>
      <c:catAx>
        <c:axId val="-41385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3847584"/>
        <c:crosses val="autoZero"/>
        <c:auto val="1"/>
        <c:lblAlgn val="ctr"/>
        <c:lblOffset val="100"/>
        <c:noMultiLvlLbl val="0"/>
      </c:catAx>
      <c:valAx>
        <c:axId val="-41384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i="0" u="none" strike="noStrike" baseline="0">
                    <a:effectLst/>
                  </a:rPr>
                  <a:t>Total Cost (M$)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329042730418191E-2"/>
              <c:y val="0.35544378073430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3850304"/>
        <c:crosses val="autoZero"/>
        <c:crossBetween val="between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8689567285102026"/>
          <c:y val="0.12877108033909554"/>
          <c:w val="0.41390995429368799"/>
          <c:h val="4.3906085015235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0" i="0" u="none" strike="noStrike" baseline="0">
                <a:effectLst/>
              </a:rPr>
              <a:t>Total Cost</a:t>
            </a:r>
            <a:r>
              <a:rPr lang="en-US" sz="2800" b="1" i="0" u="none" strike="noStrike" baseline="0">
                <a:effectLst/>
              </a:rPr>
              <a:t> 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38711952050771"/>
          <c:y val="0.12591216914212253"/>
          <c:w val="0.8430515401992662"/>
          <c:h val="0.75903614089055182"/>
        </c:manualLayout>
      </c:layout>
      <c:barChart>
        <c:barDir val="col"/>
        <c:grouping val="clustered"/>
        <c:varyColors val="0"/>
        <c:ser>
          <c:idx val="0"/>
          <c:order val="0"/>
          <c:tx>
            <c:v>DX</c:v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'Graph 24 Yeas Total Cost '!$A$56:$C$56</c:f>
              <c:strCache>
                <c:ptCount val="3"/>
                <c:pt idx="0">
                  <c:v>8  Years</c:v>
                </c:pt>
                <c:pt idx="1">
                  <c:v>16 Years</c:v>
                </c:pt>
                <c:pt idx="2">
                  <c:v>24 Years</c:v>
                </c:pt>
              </c:strCache>
            </c:strRef>
          </c:cat>
          <c:val>
            <c:numRef>
              <c:f>'Graph 24 Yeas Total Cost '!$A$57:$C$57</c:f>
              <c:numCache>
                <c:formatCode>#,##0</c:formatCode>
                <c:ptCount val="3"/>
                <c:pt idx="0">
                  <c:v>6805.9752176708944</c:v>
                </c:pt>
                <c:pt idx="1">
                  <c:v>14331.53475425416</c:v>
                </c:pt>
                <c:pt idx="2">
                  <c:v>22668.507574459294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A4-7444-A067-7B7DE9D08FE8}"/>
            </c:ext>
          </c:extLst>
        </c:ser>
        <c:ser>
          <c:idx val="1"/>
          <c:order val="1"/>
          <c:tx>
            <c:v>VRF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24 Yeas Total Cost '!$A$56:$C$56</c:f>
              <c:strCache>
                <c:ptCount val="3"/>
                <c:pt idx="0">
                  <c:v>8  Years</c:v>
                </c:pt>
                <c:pt idx="1">
                  <c:v>16 Years</c:v>
                </c:pt>
                <c:pt idx="2">
                  <c:v>24 Years</c:v>
                </c:pt>
              </c:strCache>
            </c:strRef>
          </c:cat>
          <c:val>
            <c:numRef>
              <c:f>'Graph 24 Yeas Total Cost '!$A$58:$C$58</c:f>
              <c:numCache>
                <c:formatCode>#,##0</c:formatCode>
                <c:ptCount val="3"/>
                <c:pt idx="0">
                  <c:v>6788.7723018832039</c:v>
                </c:pt>
                <c:pt idx="1">
                  <c:v>14400.058832565923</c:v>
                </c:pt>
                <c:pt idx="2">
                  <c:v>20828.696406678129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A4-7444-A067-7B7DE9D08FE8}"/>
            </c:ext>
          </c:extLst>
        </c:ser>
        <c:ser>
          <c:idx val="2"/>
          <c:order val="2"/>
          <c:tx>
            <c:v>DC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24 Yeas Total Cost '!$A$56:$C$56</c:f>
              <c:strCache>
                <c:ptCount val="3"/>
                <c:pt idx="0">
                  <c:v>8  Years</c:v>
                </c:pt>
                <c:pt idx="1">
                  <c:v>16 Years</c:v>
                </c:pt>
                <c:pt idx="2">
                  <c:v>24 Years</c:v>
                </c:pt>
              </c:strCache>
            </c:strRef>
          </c:cat>
          <c:val>
            <c:numRef>
              <c:f>'Graph 24 Yeas Total Cost '!$A$59:$C$59</c:f>
              <c:numCache>
                <c:formatCode>#,##0</c:formatCode>
                <c:ptCount val="3"/>
                <c:pt idx="0">
                  <c:v>6966.2079451837662</c:v>
                </c:pt>
                <c:pt idx="1">
                  <c:v>11903.749482690915</c:v>
                </c:pt>
                <c:pt idx="2">
                  <c:v>17394.976906552209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A4-7444-A067-7B7DE9D08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87396624"/>
        <c:axId val="-321747840"/>
      </c:barChart>
      <c:catAx>
        <c:axId val="-48739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1747840"/>
        <c:crosses val="autoZero"/>
        <c:auto val="1"/>
        <c:lblAlgn val="ctr"/>
        <c:lblOffset val="100"/>
        <c:noMultiLvlLbl val="0"/>
      </c:catAx>
      <c:valAx>
        <c:axId val="-32174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i="0" u="none" strike="noStrike" baseline="0">
                    <a:effectLst/>
                  </a:rPr>
                  <a:t>Total Cost (M$)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87396624"/>
        <c:crosses val="autoZero"/>
        <c:crossBetween val="between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493200663349917"/>
          <c:y val="0.15558810250759472"/>
          <c:w val="0.2906202823784958"/>
          <c:h val="5.6048212951483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1168400</xdr:colOff>
      <xdr:row>7</xdr:row>
      <xdr:rowOff>120650</xdr:rowOff>
    </xdr:from>
    <xdr:to>
      <xdr:col>6</xdr:col>
      <xdr:colOff>749300</xdr:colOff>
      <xdr:row>47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BAFAE4F-78D8-8C4B-9AB7-CD1E02EB27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</xdr:row>
      <xdr:rowOff>50799</xdr:rowOff>
    </xdr:from>
    <xdr:to>
      <xdr:col>23</xdr:col>
      <xdr:colOff>594518</xdr:colOff>
      <xdr:row>43</xdr:row>
      <xdr:rowOff>160337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0B8C29E-C386-9440-B96E-E950D71EF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99609</xdr:colOff>
      <xdr:row>0</xdr:row>
      <xdr:rowOff>0</xdr:rowOff>
    </xdr:from>
    <xdr:to>
      <xdr:col>6</xdr:col>
      <xdr:colOff>768350</xdr:colOff>
      <xdr:row>20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8BB4FC4F-528C-4D4C-92A0-D7B59CEC33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0</xdr:row>
      <xdr:rowOff>0</xdr:rowOff>
    </xdr:from>
    <xdr:to>
      <xdr:col>21</xdr:col>
      <xdr:colOff>400049</xdr:colOff>
      <xdr:row>22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FA5D18A-D40E-AB4B-9943-C8E41D932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29</xdr:row>
      <xdr:rowOff>14286</xdr:rowOff>
    </xdr:from>
    <xdr:to>
      <xdr:col>36</xdr:col>
      <xdr:colOff>161925</xdr:colOff>
      <xdr:row>59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C34F7E1-3B5F-FE4F-99AB-DDC5B1413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63499</xdr:colOff>
      <xdr:row>52</xdr:row>
      <xdr:rowOff>122236</xdr:rowOff>
    </xdr:from>
    <xdr:to>
      <xdr:col>19</xdr:col>
      <xdr:colOff>139700</xdr:colOff>
      <xdr:row>84</xdr:row>
      <xdr:rowOff>88899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56BB2F9F-4DF8-C14C-88CC-DFC3489FB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0.02581</cdr:x>
      <cdr:y>0.13904</cdr:y>
    </cdr:from>
    <cdr:to>
      <cdr:x>0.47857</cdr:x>
      <cdr:y>0.32073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xmlns="" id="{6E800F91-9F87-DB47-801B-DEB680238A1F}"/>
            </a:ext>
          </a:extLst>
        </cdr:cNvPr>
        <cdr:cNvGrpSpPr/>
      </cdr:nvGrpSpPr>
      <cdr:grpSpPr>
        <a:xfrm xmlns:a="http://schemas.openxmlformats.org/drawingml/2006/main">
          <a:off x="203009" y="842953"/>
          <a:ext cx="3561200" cy="1101525"/>
          <a:chOff x="254118" y="1252539"/>
          <a:chExt cx="3622559" cy="1101485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 rot="21273581">
            <a:off x="3171827" y="1252539"/>
            <a:ext cx="704850" cy="257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400" b="1"/>
              <a:t>Others</a:t>
            </a:r>
          </a:p>
        </cdr:txBody>
      </cdr:sp>
      <cdr:sp macro="" textlink="">
        <cdr:nvSpPr>
          <cdr:cNvPr id="3" name="TextBox 1"/>
          <cdr:cNvSpPr txBox="1"/>
        </cdr:nvSpPr>
        <cdr:spPr>
          <a:xfrm xmlns:a="http://schemas.openxmlformats.org/drawingml/2006/main" rot="20795301">
            <a:off x="1660469" y="1375796"/>
            <a:ext cx="1054831" cy="36533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400" b="1"/>
              <a:t>Hot-water</a:t>
            </a:r>
          </a:p>
        </cdr:txBody>
      </cdr:sp>
      <cdr:sp macro="" textlink="">
        <cdr:nvSpPr>
          <cdr:cNvPr id="4" name="TextBox 1"/>
          <cdr:cNvSpPr txBox="1"/>
        </cdr:nvSpPr>
        <cdr:spPr>
          <a:xfrm xmlns:a="http://schemas.openxmlformats.org/drawingml/2006/main" rot="19439896">
            <a:off x="254118" y="1751766"/>
            <a:ext cx="1169919" cy="60225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400" b="1"/>
              <a:t>Lighting</a:t>
            </a:r>
            <a:r>
              <a:rPr lang="en-US" sz="1400" b="1" baseline="0"/>
              <a:t> &amp; Plugs--Load</a:t>
            </a:r>
            <a:endParaRPr lang="en-US" sz="1400" b="1"/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1168400</xdr:colOff>
      <xdr:row>7</xdr:row>
      <xdr:rowOff>120650</xdr:rowOff>
    </xdr:from>
    <xdr:to>
      <xdr:col>5</xdr:col>
      <xdr:colOff>622300</xdr:colOff>
      <xdr:row>44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832C4BE-F726-B047-B4FA-5DB828E42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1168400</xdr:colOff>
      <xdr:row>7</xdr:row>
      <xdr:rowOff>120650</xdr:rowOff>
    </xdr:from>
    <xdr:to>
      <xdr:col>5</xdr:col>
      <xdr:colOff>622300</xdr:colOff>
      <xdr:row>44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F020078-A755-7546-BFFF-528F17F7C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50800</xdr:rowOff>
    </xdr:from>
    <xdr:to>
      <xdr:col>12</xdr:col>
      <xdr:colOff>177800</xdr:colOff>
      <xdr:row>51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51D11E1A-1C0E-3A4C-85D3-4669C444B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67</xdr:row>
      <xdr:rowOff>25400</xdr:rowOff>
    </xdr:from>
    <xdr:to>
      <xdr:col>15</xdr:col>
      <xdr:colOff>723900</xdr:colOff>
      <xdr:row>101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9C788B12-1C88-5945-853A-75BB3C9520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355600</xdr:colOff>
      <xdr:row>67</xdr:row>
      <xdr:rowOff>57150</xdr:rowOff>
    </xdr:from>
    <xdr:to>
      <xdr:col>6</xdr:col>
      <xdr:colOff>800100</xdr:colOff>
      <xdr:row>101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4384C81-D009-B242-B799-E12EF36E6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774700</xdr:colOff>
      <xdr:row>12</xdr:row>
      <xdr:rowOff>0</xdr:rowOff>
    </xdr:from>
    <xdr:to>
      <xdr:col>14</xdr:col>
      <xdr:colOff>406400</xdr:colOff>
      <xdr:row>58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207A766-D636-664C-8049-76D22573C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8</xdr:row>
      <xdr:rowOff>12700</xdr:rowOff>
    </xdr:from>
    <xdr:to>
      <xdr:col>14</xdr:col>
      <xdr:colOff>63500</xdr:colOff>
      <xdr:row>54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4A8277E9-5B85-0F41-8F7A-A77043B7B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482600</xdr:colOff>
      <xdr:row>59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212D1E8D-C4FA-9C43-96F2-C34E635D63A2}"/>
            </a:ext>
          </a:extLst>
        </xdr:cNvPr>
        <xdr:cNvSpPr txBox="1"/>
      </xdr:nvSpPr>
      <xdr:spPr>
        <a:xfrm>
          <a:off x="980440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8</xdr:row>
      <xdr:rowOff>12700</xdr:rowOff>
    </xdr:from>
    <xdr:to>
      <xdr:col>14</xdr:col>
      <xdr:colOff>63500</xdr:colOff>
      <xdr:row>54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74B82DE-56AC-6B40-872E-C137232E8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482600</xdr:colOff>
      <xdr:row>59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66CD6A55-9020-8049-A7F6-493CBA9FA715}"/>
            </a:ext>
          </a:extLst>
        </xdr:cNvPr>
        <xdr:cNvSpPr txBox="1"/>
      </xdr:nvSpPr>
      <xdr:spPr>
        <a:xfrm>
          <a:off x="9804400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selection activeCell="D26" sqref="D26"/>
    </sheetView>
  </sheetViews>
  <sheetFormatPr defaultColWidth="8.85546875" defaultRowHeight="15"/>
  <cols>
    <col min="1" max="1" width="13.7109375" customWidth="1"/>
    <col min="2" max="2" width="44.42578125" customWidth="1"/>
    <col min="3" max="3" width="32.42578125" customWidth="1"/>
    <col min="4" max="4" width="10.85546875" customWidth="1"/>
    <col min="9" max="9" width="15.140625" customWidth="1"/>
    <col min="10" max="10" width="14.7109375" customWidth="1"/>
  </cols>
  <sheetData>
    <row r="1" spans="1:14" ht="28.5">
      <c r="B1" s="16" t="s">
        <v>33</v>
      </c>
      <c r="C1" s="34" t="s">
        <v>34</v>
      </c>
      <c r="E1" s="140"/>
      <c r="F1" s="140"/>
      <c r="G1" s="140"/>
      <c r="H1" s="140"/>
      <c r="I1" s="140"/>
      <c r="J1" s="140"/>
    </row>
    <row r="2" spans="1:14" ht="29.25" thickBot="1">
      <c r="B2" s="11" t="s">
        <v>39</v>
      </c>
      <c r="C2" s="15" t="s">
        <v>41</v>
      </c>
    </row>
    <row r="3" spans="1:14" ht="26.25" thickBot="1">
      <c r="A3" s="141" t="s">
        <v>152</v>
      </c>
      <c r="B3" s="142"/>
      <c r="C3" s="19">
        <v>0.44</v>
      </c>
      <c r="D3" s="4" t="s">
        <v>54</v>
      </c>
      <c r="E3" s="4"/>
      <c r="F3" s="4"/>
      <c r="G3" s="4"/>
      <c r="H3" s="13" t="s">
        <v>28</v>
      </c>
      <c r="J3" s="13"/>
    </row>
    <row r="4" spans="1:14" ht="26.25" thickBot="1">
      <c r="A4" s="141" t="s">
        <v>153</v>
      </c>
      <c r="B4" s="142"/>
      <c r="C4" s="19">
        <v>0.11</v>
      </c>
      <c r="D4" s="4" t="s">
        <v>71</v>
      </c>
      <c r="E4" s="4"/>
      <c r="F4" s="4"/>
      <c r="G4" s="4"/>
      <c r="I4" s="13"/>
    </row>
    <row r="5" spans="1:14" ht="26.25" thickBot="1">
      <c r="A5" s="143" t="s">
        <v>154</v>
      </c>
      <c r="B5" s="144"/>
      <c r="C5" s="19">
        <v>0.66</v>
      </c>
      <c r="D5" s="4" t="s">
        <v>151</v>
      </c>
      <c r="E5" s="4"/>
      <c r="F5" s="4"/>
      <c r="G5" s="4"/>
      <c r="I5" s="13"/>
      <c r="J5" s="13" t="s">
        <v>28</v>
      </c>
      <c r="K5" s="13"/>
      <c r="L5" s="13"/>
      <c r="N5" s="13"/>
    </row>
    <row r="6" spans="1:14" ht="24" thickBot="1">
      <c r="A6" s="145" t="s">
        <v>1</v>
      </c>
      <c r="B6" s="145"/>
      <c r="C6" s="20">
        <v>2.5000000000000001E-3</v>
      </c>
      <c r="D6" s="6" t="s">
        <v>46</v>
      </c>
      <c r="E6" s="4"/>
      <c r="F6" s="4"/>
      <c r="G6" s="4"/>
    </row>
    <row r="7" spans="1:14" ht="24" thickBot="1">
      <c r="A7" s="145" t="s">
        <v>2</v>
      </c>
      <c r="B7" s="145"/>
      <c r="C7" s="21">
        <v>2.63</v>
      </c>
      <c r="D7" s="4" t="s">
        <v>17</v>
      </c>
      <c r="E7" s="4"/>
      <c r="F7" s="4"/>
      <c r="G7" s="4"/>
    </row>
    <row r="8" spans="1:14" ht="24" thickBot="1">
      <c r="A8" s="22" t="s">
        <v>3</v>
      </c>
      <c r="B8" s="22"/>
      <c r="C8" s="21">
        <v>2.63</v>
      </c>
      <c r="D8" s="4" t="s">
        <v>18</v>
      </c>
      <c r="E8" s="4"/>
      <c r="F8" s="4"/>
      <c r="G8" s="4"/>
    </row>
    <row r="9" spans="1:14" ht="24" thickBot="1">
      <c r="A9" s="139" t="s">
        <v>24</v>
      </c>
      <c r="B9" s="139"/>
      <c r="C9" s="40">
        <v>25122</v>
      </c>
      <c r="D9" s="6" t="s">
        <v>4</v>
      </c>
      <c r="E9" s="4"/>
      <c r="F9" s="4"/>
      <c r="G9" s="4"/>
    </row>
    <row r="10" spans="1:14" ht="24" thickBot="1">
      <c r="A10" s="139" t="s">
        <v>24</v>
      </c>
      <c r="B10" s="139"/>
      <c r="C10" s="40">
        <v>87928</v>
      </c>
      <c r="D10" s="6" t="s">
        <v>55</v>
      </c>
      <c r="E10" s="4"/>
      <c r="F10" s="4"/>
      <c r="G10" s="4"/>
    </row>
    <row r="11" spans="1:14" ht="24" thickBot="1">
      <c r="A11" s="145" t="s">
        <v>22</v>
      </c>
      <c r="B11" s="145"/>
      <c r="C11" s="19"/>
      <c r="D11" s="5" t="s">
        <v>5</v>
      </c>
      <c r="E11" s="4">
        <v>45</v>
      </c>
      <c r="F11" s="4"/>
      <c r="G11" s="4"/>
    </row>
    <row r="12" spans="1:14" ht="24" thickBot="1">
      <c r="A12" s="145" t="s">
        <v>22</v>
      </c>
      <c r="B12" s="145"/>
      <c r="C12" s="7" t="s">
        <v>73</v>
      </c>
      <c r="D12" s="5" t="s">
        <v>7</v>
      </c>
      <c r="E12" s="4">
        <v>158</v>
      </c>
      <c r="F12" s="5"/>
      <c r="G12" s="4"/>
    </row>
    <row r="13" spans="1:14" s="2" customFormat="1" ht="24" thickBot="1">
      <c r="A13" s="145" t="s">
        <v>8</v>
      </c>
      <c r="B13" s="145"/>
      <c r="C13" s="8">
        <v>29</v>
      </c>
      <c r="D13" s="5" t="s">
        <v>7</v>
      </c>
      <c r="E13" s="3"/>
      <c r="F13" s="3"/>
      <c r="G13" s="9"/>
    </row>
    <row r="14" spans="1:14" ht="24" thickBot="1">
      <c r="A14" s="24" t="s">
        <v>6</v>
      </c>
      <c r="B14" s="25"/>
      <c r="C14" s="40">
        <v>15.987</v>
      </c>
      <c r="D14" s="10" t="s">
        <v>57</v>
      </c>
      <c r="E14" s="4" t="s">
        <v>60</v>
      </c>
      <c r="F14" s="4"/>
      <c r="G14" s="4"/>
    </row>
    <row r="15" spans="1:14" ht="24" thickBot="1">
      <c r="A15" s="24" t="s">
        <v>59</v>
      </c>
      <c r="B15" s="22"/>
      <c r="C15" s="19">
        <v>2300</v>
      </c>
      <c r="D15" s="4"/>
      <c r="E15" s="4"/>
      <c r="F15" s="4"/>
      <c r="G15" s="4"/>
    </row>
    <row r="16" spans="1:14" ht="24" thickBot="1">
      <c r="A16" s="49" t="s">
        <v>12</v>
      </c>
      <c r="B16" s="50" t="s">
        <v>13</v>
      </c>
      <c r="C16" s="26">
        <v>0.11799999999999999</v>
      </c>
      <c r="D16" s="4" t="s">
        <v>56</v>
      </c>
      <c r="E16" s="4"/>
      <c r="F16" s="4"/>
      <c r="G16" s="4"/>
    </row>
    <row r="17" spans="1:8" ht="24" thickBot="1">
      <c r="A17" s="139" t="s">
        <v>45</v>
      </c>
      <c r="B17" s="139"/>
      <c r="C17" s="40">
        <v>278805540</v>
      </c>
      <c r="D17" s="6" t="s">
        <v>4</v>
      </c>
      <c r="E17" s="4"/>
      <c r="F17" s="1"/>
    </row>
    <row r="18" spans="1:8" ht="24" thickBot="1">
      <c r="A18" s="139" t="s">
        <v>45</v>
      </c>
      <c r="B18" s="139"/>
      <c r="C18" s="40">
        <v>975819.38899999997</v>
      </c>
      <c r="D18" s="6" t="s">
        <v>53</v>
      </c>
      <c r="E18" s="4"/>
      <c r="F18" s="1"/>
    </row>
    <row r="19" spans="1:8" ht="24" thickBot="1">
      <c r="A19" s="145" t="s">
        <v>104</v>
      </c>
      <c r="B19" s="145"/>
      <c r="C19" s="19">
        <v>83588.800000000003</v>
      </c>
      <c r="D19" s="5" t="s">
        <v>5</v>
      </c>
      <c r="E19" s="1"/>
      <c r="F19" s="1"/>
    </row>
    <row r="20" spans="1:8" ht="24" thickBot="1">
      <c r="A20" s="145" t="s">
        <v>105</v>
      </c>
      <c r="B20" s="145"/>
      <c r="C20" s="81">
        <v>292.56</v>
      </c>
      <c r="D20" s="5" t="s">
        <v>30</v>
      </c>
      <c r="E20" s="1"/>
      <c r="F20" s="1"/>
    </row>
    <row r="21" spans="1:8" ht="26.25" thickBot="1">
      <c r="A21" s="139" t="s">
        <v>61</v>
      </c>
      <c r="B21" s="139"/>
      <c r="C21" s="23">
        <v>74</v>
      </c>
      <c r="D21" s="6" t="s">
        <v>31</v>
      </c>
      <c r="E21" s="4"/>
      <c r="F21" s="13"/>
      <c r="H21" s="13"/>
    </row>
    <row r="22" spans="1:8" ht="24" thickBot="1">
      <c r="A22" s="145" t="s">
        <v>47</v>
      </c>
      <c r="B22" s="145"/>
      <c r="C22" s="36">
        <v>50</v>
      </c>
      <c r="D22" s="6" t="s">
        <v>107</v>
      </c>
      <c r="E22" s="4"/>
      <c r="F22" s="4"/>
      <c r="G22" s="4"/>
    </row>
    <row r="23" spans="1:8" ht="24" thickBot="1">
      <c r="A23" s="145" t="s">
        <v>48</v>
      </c>
      <c r="B23" s="145"/>
      <c r="C23" s="20">
        <v>3.0000000000000001E-3</v>
      </c>
      <c r="D23" s="6" t="s">
        <v>49</v>
      </c>
      <c r="E23" s="4"/>
      <c r="F23" s="4"/>
      <c r="G23" s="4"/>
    </row>
    <row r="24" spans="1:8" ht="24" thickBot="1">
      <c r="A24" s="145" t="s">
        <v>50</v>
      </c>
      <c r="B24" s="145"/>
      <c r="C24" s="36">
        <v>0</v>
      </c>
      <c r="D24" s="6" t="s">
        <v>149</v>
      </c>
    </row>
    <row r="25" spans="1:8" ht="24" thickBot="1">
      <c r="A25" s="145" t="s">
        <v>51</v>
      </c>
      <c r="B25" s="145"/>
      <c r="C25" s="36">
        <v>0</v>
      </c>
      <c r="D25" s="4" t="s">
        <v>149</v>
      </c>
    </row>
    <row r="26" spans="1:8" ht="24" thickBot="1">
      <c r="A26" s="145" t="s">
        <v>70</v>
      </c>
      <c r="B26" s="145"/>
      <c r="C26" s="79">
        <f>'DC Capital Cost '!D24*1000000</f>
        <v>210014960</v>
      </c>
      <c r="D26" s="4" t="s">
        <v>52</v>
      </c>
    </row>
    <row r="28" spans="1:8" ht="23.25">
      <c r="A28" s="4"/>
      <c r="B28" s="4"/>
      <c r="C28" s="4"/>
      <c r="D28" s="4"/>
      <c r="E28" s="4"/>
    </row>
    <row r="29" spans="1:8" ht="29.25" thickBot="1">
      <c r="A29" s="11" t="s">
        <v>9</v>
      </c>
      <c r="B29" s="14" t="s">
        <v>27</v>
      </c>
      <c r="C29" s="4"/>
    </row>
    <row r="30" spans="1:8" ht="24" thickBot="1">
      <c r="A30" s="49" t="s">
        <v>10</v>
      </c>
      <c r="B30" s="50" t="s">
        <v>11</v>
      </c>
      <c r="C30" s="41">
        <v>261210</v>
      </c>
    </row>
    <row r="31" spans="1:8" ht="24" thickBot="1">
      <c r="A31" s="33" t="s">
        <v>0</v>
      </c>
      <c r="B31" s="22"/>
      <c r="C31" s="41">
        <f>$C$18*$C$3</f>
        <v>429360.53116000001</v>
      </c>
    </row>
    <row r="32" spans="1:8" ht="24" thickBot="1">
      <c r="A32" s="33" t="s">
        <v>14</v>
      </c>
      <c r="B32" s="22"/>
      <c r="C32" s="41">
        <f>$C$18*$C$4</f>
        <v>107340.13279</v>
      </c>
    </row>
    <row r="33" spans="1:4" ht="23.25">
      <c r="A33" s="4"/>
    </row>
    <row r="34" spans="1:4" ht="23.25">
      <c r="A34" s="4"/>
    </row>
    <row r="35" spans="1:4" ht="23.25">
      <c r="A35" s="4"/>
      <c r="B35" s="4"/>
    </row>
    <row r="36" spans="1:4" ht="29.25" thickBot="1">
      <c r="A36" s="14" t="s">
        <v>15</v>
      </c>
      <c r="B36" s="14" t="s">
        <v>16</v>
      </c>
      <c r="C36" s="4"/>
    </row>
    <row r="37" spans="1:4" ht="24" thickBot="1">
      <c r="A37" s="22" t="s">
        <v>19</v>
      </c>
      <c r="B37" s="22"/>
      <c r="C37" s="21">
        <f xml:space="preserve"> $C$16*$C$30*1000</f>
        <v>30822780</v>
      </c>
    </row>
    <row r="38" spans="1:4" ht="24" thickBot="1">
      <c r="A38" s="22" t="s">
        <v>20</v>
      </c>
      <c r="B38" s="17"/>
      <c r="C38" s="21">
        <f>$C$7*$C$31</f>
        <v>1129218.1969508</v>
      </c>
    </row>
    <row r="39" spans="1:4" ht="24" thickBot="1">
      <c r="A39" s="22" t="s">
        <v>21</v>
      </c>
      <c r="B39" s="17"/>
      <c r="C39" s="21">
        <f>$C$8*$C$32</f>
        <v>282304.5492377</v>
      </c>
    </row>
    <row r="40" spans="1:4" ht="24" thickBot="1">
      <c r="A40" s="22" t="s">
        <v>23</v>
      </c>
      <c r="B40" s="17"/>
      <c r="C40" s="36">
        <f>C17*$C$6</f>
        <v>697013.85</v>
      </c>
    </row>
    <row r="41" spans="1:4" ht="24" thickBot="1">
      <c r="A41" s="22" t="s">
        <v>25</v>
      </c>
      <c r="B41" s="17"/>
      <c r="C41" s="36">
        <v>0</v>
      </c>
      <c r="D41" s="37"/>
    </row>
    <row r="42" spans="1:4" ht="24" thickBot="1">
      <c r="A42" s="22" t="s">
        <v>26</v>
      </c>
      <c r="B42" s="17"/>
      <c r="C42" s="36">
        <f>$C$19*$C$22</f>
        <v>4179440</v>
      </c>
    </row>
    <row r="43" spans="1:4" ht="24" thickBot="1">
      <c r="A43" s="38" t="s">
        <v>48</v>
      </c>
      <c r="B43" s="39"/>
      <c r="C43" s="36">
        <f>$C$23*$C$26</f>
        <v>630044.88</v>
      </c>
    </row>
    <row r="44" spans="1:4" ht="24" thickBot="1">
      <c r="A44" s="22" t="s">
        <v>44</v>
      </c>
      <c r="B44" s="22"/>
      <c r="C44" s="21">
        <f>SUM(C37:C43)</f>
        <v>37740801.476188503</v>
      </c>
    </row>
    <row r="45" spans="1:4" ht="24" thickBot="1">
      <c r="A45" s="22" t="s">
        <v>68</v>
      </c>
      <c r="B45" s="22"/>
      <c r="C45" s="21">
        <f>SUM($C$38:$C$43)</f>
        <v>6918021.4761885004</v>
      </c>
    </row>
  </sheetData>
  <mergeCells count="21">
    <mergeCell ref="A23:B23"/>
    <mergeCell ref="A24:B24"/>
    <mergeCell ref="A25:B25"/>
    <mergeCell ref="A26:B26"/>
    <mergeCell ref="A18:B18"/>
    <mergeCell ref="A19:B19"/>
    <mergeCell ref="A20:B20"/>
    <mergeCell ref="A21:B21"/>
    <mergeCell ref="A22:B22"/>
    <mergeCell ref="A17:B17"/>
    <mergeCell ref="E1:J1"/>
    <mergeCell ref="A3:B3"/>
    <mergeCell ref="A5:B5"/>
    <mergeCell ref="A6:B6"/>
    <mergeCell ref="A7:B7"/>
    <mergeCell ref="A9:B9"/>
    <mergeCell ref="A10:B10"/>
    <mergeCell ref="A11:B11"/>
    <mergeCell ref="A12:B12"/>
    <mergeCell ref="A13:B13"/>
    <mergeCell ref="A4:B4"/>
  </mergeCells>
  <pageMargins left="0.7" right="0.7" top="0.75" bottom="0.75" header="0.3" footer="0.3"/>
  <pageSetup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zoomScale="73" zoomScaleNormal="73" workbookViewId="0">
      <selection activeCell="B41" sqref="B41:I41"/>
    </sheetView>
  </sheetViews>
  <sheetFormatPr defaultColWidth="11.42578125" defaultRowHeight="15"/>
  <cols>
    <col min="2" max="2" width="28" customWidth="1"/>
    <col min="3" max="3" width="27.140625" customWidth="1"/>
    <col min="4" max="4" width="31.28515625" bestFit="1" customWidth="1"/>
    <col min="5" max="5" width="28" customWidth="1"/>
    <col min="6" max="6" width="26.28515625" customWidth="1"/>
    <col min="7" max="7" width="32.42578125" bestFit="1" customWidth="1"/>
    <col min="8" max="8" width="26.28515625" customWidth="1"/>
    <col min="9" max="9" width="24.85546875" customWidth="1"/>
  </cols>
  <sheetData>
    <row r="1" spans="1:9" ht="51" customHeight="1" thickBot="1">
      <c r="A1" s="158" t="s">
        <v>170</v>
      </c>
      <c r="B1" s="163"/>
      <c r="C1" s="163"/>
      <c r="D1" s="163"/>
      <c r="E1" s="163"/>
      <c r="F1" s="163"/>
      <c r="G1" s="163"/>
      <c r="H1" s="11"/>
    </row>
    <row r="2" spans="1:9" ht="47.1" customHeight="1" thickBot="1">
      <c r="A2" s="146"/>
      <c r="B2" s="147"/>
      <c r="C2" s="83"/>
      <c r="D2" s="11"/>
      <c r="E2" s="84"/>
      <c r="F2" s="83"/>
      <c r="G2" s="94" t="s">
        <v>171</v>
      </c>
      <c r="H2" s="94" t="s">
        <v>172</v>
      </c>
      <c r="I2" s="94" t="s">
        <v>165</v>
      </c>
    </row>
    <row r="3" spans="1:9" ht="54" customHeight="1" thickBot="1">
      <c r="A3" s="148" t="s">
        <v>40</v>
      </c>
      <c r="B3" s="149"/>
      <c r="C3" s="47">
        <v>146.80000000000001</v>
      </c>
      <c r="D3" s="48"/>
      <c r="E3" s="85" t="s">
        <v>78</v>
      </c>
      <c r="F3" s="47">
        <v>405135.8</v>
      </c>
      <c r="G3" s="11"/>
      <c r="H3" s="11"/>
    </row>
    <row r="4" spans="1:9" ht="57.95" customHeight="1" thickBot="1">
      <c r="A4" s="164" t="s">
        <v>118</v>
      </c>
      <c r="B4" s="149"/>
      <c r="C4" s="57">
        <f>'DX Capital &amp; Running Cost '!C17</f>
        <v>2870400</v>
      </c>
      <c r="D4" s="48"/>
      <c r="E4" s="86" t="s">
        <v>117</v>
      </c>
      <c r="F4" s="58"/>
      <c r="G4" s="58">
        <f>'DX Capital &amp; Running Cost '!D10</f>
        <v>35880000</v>
      </c>
      <c r="H4" s="58">
        <f>'DX Capital &amp; Running Cost '!E10</f>
        <v>40358754.007039569</v>
      </c>
      <c r="I4" s="58">
        <f>'DX Capital &amp; Running Cost '!F10</f>
        <v>45471401.449832059</v>
      </c>
    </row>
    <row r="5" spans="1:9" ht="51.75" thickBot="1">
      <c r="A5" s="164" t="s">
        <v>119</v>
      </c>
      <c r="B5" s="149"/>
      <c r="C5" s="89">
        <v>1335774</v>
      </c>
      <c r="D5" s="48"/>
      <c r="E5" s="7" t="s">
        <v>120</v>
      </c>
      <c r="F5" s="61">
        <f>$C$3*$C$5</f>
        <v>196091623.20000002</v>
      </c>
      <c r="G5" s="11"/>
      <c r="H5" s="11"/>
    </row>
    <row r="6" spans="1:9" ht="57.95" customHeight="1" thickBot="1">
      <c r="A6" s="165" t="s">
        <v>112</v>
      </c>
      <c r="B6" s="149"/>
      <c r="C6" s="61">
        <v>4</v>
      </c>
      <c r="D6" s="47"/>
      <c r="E6" s="63" t="s">
        <v>86</v>
      </c>
      <c r="F6" s="61">
        <f>$C$6*$F$3</f>
        <v>1620543.2</v>
      </c>
      <c r="G6" s="11"/>
      <c r="H6" s="11"/>
    </row>
    <row r="7" spans="1:9" ht="57" customHeight="1" thickBot="1">
      <c r="A7" s="165" t="s">
        <v>80</v>
      </c>
      <c r="B7" s="149"/>
      <c r="C7" s="72">
        <v>17.358000000000001</v>
      </c>
      <c r="D7" s="47"/>
      <c r="E7" s="63" t="s">
        <v>85</v>
      </c>
      <c r="F7" s="61">
        <f>$C$7*$F$3</f>
        <v>7032347.2164000003</v>
      </c>
      <c r="G7" s="11"/>
      <c r="H7" s="11"/>
    </row>
    <row r="8" spans="1:9" ht="63.95" customHeight="1" thickBot="1">
      <c r="A8" s="165" t="s">
        <v>81</v>
      </c>
      <c r="B8" s="149"/>
      <c r="C8" s="64">
        <v>7.4999999999999997E-3</v>
      </c>
      <c r="D8" s="54"/>
      <c r="E8" s="82" t="s">
        <v>84</v>
      </c>
      <c r="F8" s="66">
        <f>$C$8*$F$5</f>
        <v>1470687.1740000001</v>
      </c>
      <c r="G8" s="11"/>
      <c r="H8" s="11"/>
    </row>
    <row r="9" spans="1:9" ht="62.1" customHeight="1" thickBot="1">
      <c r="A9" s="154" t="s">
        <v>82</v>
      </c>
      <c r="B9" s="162"/>
      <c r="C9" s="67">
        <v>117.68</v>
      </c>
      <c r="D9" s="54"/>
      <c r="E9" s="82" t="s">
        <v>83</v>
      </c>
      <c r="F9" s="66">
        <f>$C$9*$F$3</f>
        <v>47676380.943999998</v>
      </c>
      <c r="G9" s="11"/>
      <c r="H9" s="11"/>
    </row>
    <row r="10" spans="1:9" ht="57.75" thickBot="1">
      <c r="A10" s="156" t="s">
        <v>94</v>
      </c>
      <c r="B10" s="162"/>
      <c r="C10" s="85">
        <v>0.03</v>
      </c>
      <c r="D10" s="85"/>
      <c r="E10" s="85" t="s">
        <v>89</v>
      </c>
      <c r="F10" s="85">
        <v>1.4999999999999999E-2</v>
      </c>
      <c r="G10" s="94">
        <v>0.03</v>
      </c>
      <c r="H10" s="94">
        <v>0.04</v>
      </c>
      <c r="I10" s="54">
        <v>0.05</v>
      </c>
    </row>
    <row r="11" spans="1:9" ht="68.099999999999994" customHeight="1" thickBot="1">
      <c r="A11" s="156" t="s">
        <v>88</v>
      </c>
      <c r="B11" s="162"/>
      <c r="C11" s="66">
        <f>$F$5*($C$10*(1+$C$10)^24)/((1+$C$10)^24-1)</f>
        <v>11578703.639199078</v>
      </c>
      <c r="D11" s="85"/>
      <c r="E11" s="85" t="s">
        <v>93</v>
      </c>
      <c r="F11" s="66">
        <f>$F$4*($C$10*(1+$C$10)^30)/((1+$C$10)^30-1)</f>
        <v>0</v>
      </c>
      <c r="G11" s="66">
        <f>$G$4*($G$10*(1+$G$10)^8)/((1+$G$10)^8-1)</f>
        <v>5111335.2311213445</v>
      </c>
      <c r="H11" s="66">
        <f>$H$4*($H$10*(1+$H$10)^8)/((1+$H$10)^8-1)</f>
        <v>5994398.2367721694</v>
      </c>
      <c r="I11" s="66">
        <f>$I$4*($I$10*(1+$I$10)^8)/((1+$I$10)^8-1)</f>
        <v>7035417.7005103873</v>
      </c>
    </row>
    <row r="12" spans="1:9" ht="28.5">
      <c r="A12" s="56"/>
      <c r="B12" s="56"/>
      <c r="C12" s="56"/>
      <c r="D12" s="56"/>
      <c r="E12" s="56"/>
      <c r="F12" s="56"/>
      <c r="G12" s="11"/>
      <c r="H12" s="11"/>
    </row>
    <row r="13" spans="1:9" ht="28.5">
      <c r="A13" s="56"/>
      <c r="B13" s="56"/>
      <c r="C13" s="56"/>
      <c r="D13" s="56"/>
      <c r="E13" s="56"/>
      <c r="F13" s="56"/>
      <c r="G13" s="11"/>
      <c r="H13" s="11"/>
    </row>
    <row r="14" spans="1:9" ht="29.25" thickBot="1">
      <c r="A14" s="56"/>
      <c r="B14" s="56"/>
      <c r="C14" s="68"/>
      <c r="D14" s="56"/>
      <c r="E14" s="56"/>
      <c r="F14" s="56"/>
      <c r="G14" s="11"/>
      <c r="H14" s="11"/>
    </row>
    <row r="15" spans="1:9" ht="114.75" thickBot="1">
      <c r="A15" s="47" t="s">
        <v>64</v>
      </c>
      <c r="B15" s="85" t="s">
        <v>66</v>
      </c>
      <c r="C15" s="85" t="s">
        <v>74</v>
      </c>
      <c r="D15" s="85" t="s">
        <v>67</v>
      </c>
      <c r="E15" s="85" t="s">
        <v>121</v>
      </c>
      <c r="F15" s="85" t="s">
        <v>122</v>
      </c>
      <c r="G15" s="85" t="s">
        <v>90</v>
      </c>
      <c r="H15" s="124" t="s">
        <v>184</v>
      </c>
      <c r="I15" s="124" t="s">
        <v>185</v>
      </c>
    </row>
    <row r="16" spans="1:9" ht="29.25" thickBot="1">
      <c r="A16" s="48">
        <v>1</v>
      </c>
      <c r="B16" s="62">
        <f>$C$11</f>
        <v>11578703.639199078</v>
      </c>
      <c r="C16" s="69">
        <f>$F$8*(1+$F$10)^($A$16-1)</f>
        <v>1470687.1740000001</v>
      </c>
      <c r="D16" s="69">
        <f>$F$9*(1+$F$10)^($A$16-1)</f>
        <v>47676380.943999998</v>
      </c>
      <c r="E16" s="66">
        <f>G4</f>
        <v>35880000</v>
      </c>
      <c r="F16" s="62">
        <f>$C$4*(1+$F$10)^($A$16-1)</f>
        <v>2870400</v>
      </c>
      <c r="G16" s="62">
        <f>SUM(A16:F16)</f>
        <v>99476172.757199079</v>
      </c>
      <c r="H16" s="131">
        <f>12*G16/1000000</f>
        <v>1193.7140730863891</v>
      </c>
      <c r="I16" s="131">
        <f>H16</f>
        <v>1193.7140730863891</v>
      </c>
    </row>
    <row r="17" spans="1:9" ht="29.25" thickBot="1">
      <c r="A17" s="48">
        <v>2</v>
      </c>
      <c r="B17" s="62">
        <f t="shared" ref="B17:B39" si="0">$C$11</f>
        <v>11578703.639199078</v>
      </c>
      <c r="C17" s="69">
        <f>$F$8*(1+$F$10)^($A$17-1)</f>
        <v>1492747.4816099999</v>
      </c>
      <c r="D17" s="69">
        <f>$F$9*(1+$F$10)^($A$17-1)</f>
        <v>48391526.658159994</v>
      </c>
      <c r="E17" s="66"/>
      <c r="F17" s="62">
        <f>$C$4*(1+$F$10)^($A$17-1)</f>
        <v>2913455.9999999995</v>
      </c>
      <c r="G17" s="62">
        <f>SUM(A17:F17)</f>
        <v>64376435.778969072</v>
      </c>
      <c r="H17" s="131">
        <f t="shared" ref="H17:H39" si="1">12*G17/1000000</f>
        <v>772.51722934762881</v>
      </c>
      <c r="I17" s="131">
        <f>SUM(H16:H17)</f>
        <v>1966.2313024340178</v>
      </c>
    </row>
    <row r="18" spans="1:9" ht="29.25" thickBot="1">
      <c r="A18" s="48">
        <v>3</v>
      </c>
      <c r="B18" s="62">
        <f t="shared" si="0"/>
        <v>11578703.639199078</v>
      </c>
      <c r="C18" s="69">
        <f>$F$8*(1+$F$10)^($A$18-1)</f>
        <v>1515138.6938341497</v>
      </c>
      <c r="D18" s="69">
        <f>$F$9*(1+$F$10)^($A$18-1)</f>
        <v>49117399.558032386</v>
      </c>
      <c r="E18" s="66"/>
      <c r="F18" s="62">
        <f>$C$4*(1+$F$10)^($A$18-1)</f>
        <v>2957157.8399999994</v>
      </c>
      <c r="G18" s="62">
        <f t="shared" ref="G18:G40" si="2">SUM(B18:F18)</f>
        <v>65168399.731065609</v>
      </c>
      <c r="H18" s="131">
        <f t="shared" si="1"/>
        <v>782.02079677278732</v>
      </c>
      <c r="I18" s="131">
        <f>SUM(H16:H18)</f>
        <v>2748.2520992068053</v>
      </c>
    </row>
    <row r="19" spans="1:9" ht="29.25" thickBot="1">
      <c r="A19" s="48">
        <v>4</v>
      </c>
      <c r="B19" s="62">
        <f t="shared" si="0"/>
        <v>11578703.639199078</v>
      </c>
      <c r="C19" s="69">
        <f>$F$8*(1+$F$10)^($A$19-1)</f>
        <v>1537865.7742416619</v>
      </c>
      <c r="D19" s="69">
        <f>$F$9*(1+$F$10)^($A$19-1)</f>
        <v>49854160.551402867</v>
      </c>
      <c r="E19" s="66"/>
      <c r="F19" s="62">
        <f>$C$4*(1+$F$10)^($A$19-1)</f>
        <v>3001515.2075999989</v>
      </c>
      <c r="G19" s="62">
        <f>SUM(A19:F19)</f>
        <v>65972249.172443606</v>
      </c>
      <c r="H19" s="131">
        <f t="shared" si="1"/>
        <v>791.66699006932333</v>
      </c>
      <c r="I19" s="131">
        <f>SUM(H16:H19)</f>
        <v>3539.9190892761285</v>
      </c>
    </row>
    <row r="20" spans="1:9" ht="29.25" thickBot="1">
      <c r="A20" s="48">
        <v>5</v>
      </c>
      <c r="B20" s="62">
        <f t="shared" si="0"/>
        <v>11578703.639199078</v>
      </c>
      <c r="C20" s="69">
        <f>$F$8*(1+$F$10)^($A$20-1)</f>
        <v>1560933.7608552864</v>
      </c>
      <c r="D20" s="69">
        <f>$F$9*(1+$F$10)^($A$20-1)</f>
        <v>50601972.959673904</v>
      </c>
      <c r="E20" s="66"/>
      <c r="F20" s="62">
        <f>$C$4*(1+$F$10)^($A$20-1)</f>
        <v>3046537.9357139985</v>
      </c>
      <c r="G20" s="62">
        <f>SUM(A20:F20)</f>
        <v>66788153.295442268</v>
      </c>
      <c r="H20" s="131">
        <f t="shared" si="1"/>
        <v>801.45783954530714</v>
      </c>
      <c r="I20" s="131">
        <f>SUM(H16:H20)</f>
        <v>4341.3769288214353</v>
      </c>
    </row>
    <row r="21" spans="1:9" ht="29.25" thickBot="1">
      <c r="A21" s="48">
        <v>6</v>
      </c>
      <c r="B21" s="62">
        <f t="shared" si="0"/>
        <v>11578703.639199078</v>
      </c>
      <c r="C21" s="69">
        <f>$F$8*(1+$F$10)^($A$21-1)</f>
        <v>1584347.7672681157</v>
      </c>
      <c r="D21" s="69">
        <f>$F$9*(1+$F$10)^($A$21-1)</f>
        <v>51361002.554069005</v>
      </c>
      <c r="E21" s="66"/>
      <c r="F21" s="62">
        <f>$C$4*(1+$F$10)^($A$21-1)</f>
        <v>3092236.0047497079</v>
      </c>
      <c r="G21" s="62">
        <f>SUM(A21:F21)</f>
        <v>67616295.965285897</v>
      </c>
      <c r="H21" s="131">
        <f t="shared" si="1"/>
        <v>811.3955515834308</v>
      </c>
      <c r="I21" s="131">
        <f>SUM(H16:H21)</f>
        <v>5152.7724804048657</v>
      </c>
    </row>
    <row r="22" spans="1:9" ht="29.25" thickBot="1">
      <c r="A22" s="48">
        <v>7</v>
      </c>
      <c r="B22" s="62">
        <f t="shared" si="0"/>
        <v>11578703.639199078</v>
      </c>
      <c r="C22" s="69">
        <f>$F$8*(1+$F$10)^($A$22-1)</f>
        <v>1608112.983777137</v>
      </c>
      <c r="D22" s="69">
        <f>$F$9*(1+$F$10)^($A$22-1)</f>
        <v>52131417.592380024</v>
      </c>
      <c r="E22" s="66"/>
      <c r="F22" s="62">
        <f>$C$4*(1+$F$10)^($A$22-1)</f>
        <v>3138619.5448209532</v>
      </c>
      <c r="G22" s="62">
        <f>SUM(A22:F22)</f>
        <v>68456860.760177195</v>
      </c>
      <c r="H22" s="131">
        <f t="shared" si="1"/>
        <v>821.48232912212632</v>
      </c>
      <c r="I22" s="131">
        <f>SUM(H16:H22)</f>
        <v>5974.2548095269922</v>
      </c>
    </row>
    <row r="23" spans="1:9" ht="29.25" thickBot="1">
      <c r="A23" s="48">
        <v>8</v>
      </c>
      <c r="B23" s="62">
        <f t="shared" si="0"/>
        <v>11578703.639199078</v>
      </c>
      <c r="C23" s="69">
        <f>$F$8*(1+$F$10)^($A$23-1)</f>
        <v>1632234.6785337939</v>
      </c>
      <c r="D23" s="69">
        <f>$F$9*(1+$F$10)^($A$23-1)</f>
        <v>52913388.856265716</v>
      </c>
      <c r="E23" s="66"/>
      <c r="F23" s="62">
        <f>$C$4*(1+$F$10)^($A$23-1)</f>
        <v>3185698.837993267</v>
      </c>
      <c r="G23" s="62">
        <f>SUM(A23:F23)</f>
        <v>69310034.011991858</v>
      </c>
      <c r="H23" s="131">
        <f t="shared" si="1"/>
        <v>831.72040814390232</v>
      </c>
      <c r="I23" s="131">
        <f>SUM(H16:H23)</f>
        <v>6805.9752176708944</v>
      </c>
    </row>
    <row r="24" spans="1:9" ht="29.25" thickBot="1">
      <c r="A24" s="48">
        <v>9</v>
      </c>
      <c r="B24" s="62">
        <f t="shared" si="0"/>
        <v>11578703.639199078</v>
      </c>
      <c r="C24" s="69">
        <f>$F$8*(1+$F$10)^($A$24-1)</f>
        <v>1656718.1987118006</v>
      </c>
      <c r="D24" s="69">
        <f>$F$9*(1+$F$10)^($A$24-1)</f>
        <v>53707089.689109698</v>
      </c>
      <c r="E24" s="66">
        <f>H4</f>
        <v>40358754.007039569</v>
      </c>
      <c r="F24" s="62">
        <f>$C$4*(1+$F$10)^($A$24-1)</f>
        <v>3233484.3205631655</v>
      </c>
      <c r="G24" s="62">
        <f>SUM(B24:F24)</f>
        <v>110534749.85462332</v>
      </c>
      <c r="H24" s="131">
        <f t="shared" si="1"/>
        <v>1326.4169982554797</v>
      </c>
      <c r="I24" s="131">
        <f>SUM(H16:H24)</f>
        <v>8132.3922159263739</v>
      </c>
    </row>
    <row r="25" spans="1:9" ht="29.25" thickBot="1">
      <c r="A25" s="48">
        <v>10</v>
      </c>
      <c r="B25" s="62">
        <f t="shared" si="0"/>
        <v>11578703.639199078</v>
      </c>
      <c r="C25" s="69">
        <f>$F$8*(1+$F$10)^($A$25-1)</f>
        <v>1681568.9716924774</v>
      </c>
      <c r="D25" s="69">
        <f>$F$9*(1+$F$10)^($A$25-1)</f>
        <v>54512696.034446336</v>
      </c>
      <c r="E25" s="66"/>
      <c r="F25" s="62">
        <f>$C$4*(1+$F$10)^($A$25-1)</f>
        <v>3281986.5853716126</v>
      </c>
      <c r="G25" s="62">
        <f>SUM(B25:F25)</f>
        <v>71054955.230709508</v>
      </c>
      <c r="H25" s="131">
        <f t="shared" si="1"/>
        <v>852.65946276851412</v>
      </c>
      <c r="I25" s="131">
        <f>SUM(H16:H25)</f>
        <v>8985.0516786948883</v>
      </c>
    </row>
    <row r="26" spans="1:9" ht="29.25" thickBot="1">
      <c r="A26" s="48">
        <v>11</v>
      </c>
      <c r="B26" s="62">
        <f t="shared" si="0"/>
        <v>11578703.639199078</v>
      </c>
      <c r="C26" s="69">
        <f>$F$8*(1+$F$10)^($A$26-1)</f>
        <v>1706792.5062678643</v>
      </c>
      <c r="D26" s="69">
        <f>$F$9*(1+$F$10)^($A$26-1)</f>
        <v>55330386.474963032</v>
      </c>
      <c r="E26" s="66"/>
      <c r="F26" s="62">
        <f>$C$4*(1+$F$10)^($A$26-1)</f>
        <v>3331216.3841521866</v>
      </c>
      <c r="G26" s="62">
        <f>SUM(B26:F26)</f>
        <v>71947099.004582167</v>
      </c>
      <c r="H26" s="131">
        <f t="shared" si="1"/>
        <v>863.36518805498599</v>
      </c>
      <c r="I26" s="131">
        <f>SUM(H16:H26)</f>
        <v>9848.4168667498743</v>
      </c>
    </row>
    <row r="27" spans="1:9" ht="29.25" thickBot="1">
      <c r="A27" s="48">
        <v>12</v>
      </c>
      <c r="B27" s="62">
        <f t="shared" si="0"/>
        <v>11578703.639199078</v>
      </c>
      <c r="C27" s="69">
        <f>$F$8*(1+$F$10)^($A$27-1)</f>
        <v>1732394.3938618822</v>
      </c>
      <c r="D27" s="69">
        <f>$F$9*(1+$F$10)^($A$27-1)</f>
        <v>56160342.27208747</v>
      </c>
      <c r="E27" s="66"/>
      <c r="F27" s="62">
        <f>$C$4*(1+$F$10)^($A$27-1)</f>
        <v>3381184.6299144686</v>
      </c>
      <c r="G27" s="62">
        <f>SUM(A27:F27)</f>
        <v>72852636.935062885</v>
      </c>
      <c r="H27" s="131">
        <f t="shared" si="1"/>
        <v>874.23164322075468</v>
      </c>
      <c r="I27" s="131">
        <f>SUM(H16:H27)</f>
        <v>10722.64850997063</v>
      </c>
    </row>
    <row r="28" spans="1:9" ht="29.25" thickBot="1">
      <c r="A28" s="48">
        <v>13</v>
      </c>
      <c r="B28" s="62">
        <f t="shared" si="0"/>
        <v>11578703.639199078</v>
      </c>
      <c r="C28" s="69">
        <f>$F$8*(1+$F$10)^($A$28-1)</f>
        <v>1758380.3097698099</v>
      </c>
      <c r="D28" s="69">
        <f>$F$9*(1+$F$10)^($A$28-1)</f>
        <v>57002747.406168766</v>
      </c>
      <c r="E28" s="66"/>
      <c r="F28" s="62">
        <f>$C$4*(1+$F$10)^($A$28-1)</f>
        <v>3431902.3993631853</v>
      </c>
      <c r="G28" s="62">
        <f>SUM(A28:F28)</f>
        <v>73771746.754500836</v>
      </c>
      <c r="H28" s="131">
        <f t="shared" si="1"/>
        <v>885.26096105401007</v>
      </c>
      <c r="I28" s="131">
        <f>SUM(H16:H28)</f>
        <v>11607.909471024639</v>
      </c>
    </row>
    <row r="29" spans="1:9" ht="29.25" thickBot="1">
      <c r="A29" s="48">
        <v>14</v>
      </c>
      <c r="B29" s="62">
        <f>$C$11</f>
        <v>11578703.639199078</v>
      </c>
      <c r="C29" s="69">
        <f>$F$8*(1+$F$10)^($A$29-1)</f>
        <v>1784756.014416357</v>
      </c>
      <c r="D29" s="69">
        <f>$F$9*(1+$F$10)^($A$29-1)</f>
        <v>57857788.617261298</v>
      </c>
      <c r="E29" s="66"/>
      <c r="F29" s="62">
        <f>$C$4*(1+$F$10)^($A$29-1)</f>
        <v>3483380.9353536326</v>
      </c>
      <c r="G29" s="62">
        <f t="shared" si="2"/>
        <v>74704629.206230372</v>
      </c>
      <c r="H29" s="131">
        <f t="shared" si="1"/>
        <v>896.45555047476444</v>
      </c>
      <c r="I29" s="131">
        <f>SUM(H16:H29)</f>
        <v>12504.365021499403</v>
      </c>
    </row>
    <row r="30" spans="1:9" ht="29.25" thickBot="1">
      <c r="A30" s="48">
        <v>15</v>
      </c>
      <c r="B30" s="62">
        <f t="shared" si="0"/>
        <v>11578703.639199078</v>
      </c>
      <c r="C30" s="69">
        <f>$F$8*(1+$F$10)^($A$30-1)</f>
        <v>1811527.3546326018</v>
      </c>
      <c r="D30" s="69">
        <f>$F$9*(1+$F$10)^($A$30-1)</f>
        <v>58725655.446520202</v>
      </c>
      <c r="E30" s="66"/>
      <c r="F30" s="62">
        <f>$C$4*(1+$F$10)^($A$30-1)</f>
        <v>3535631.6493839361</v>
      </c>
      <c r="G30" s="62">
        <f>SUM(B30:F30)</f>
        <v>75651518.089735806</v>
      </c>
      <c r="H30" s="131">
        <f t="shared" si="1"/>
        <v>907.81821707682968</v>
      </c>
      <c r="I30" s="131">
        <f>SUM(H16:H30)</f>
        <v>13412.183238576234</v>
      </c>
    </row>
    <row r="31" spans="1:9" ht="29.25" thickBot="1">
      <c r="A31" s="48">
        <v>16</v>
      </c>
      <c r="B31" s="62">
        <f t="shared" si="0"/>
        <v>11578703.639199078</v>
      </c>
      <c r="C31" s="69">
        <f>$F$8*(1+$F$10)^($A$31-1)</f>
        <v>1838700.2649520906</v>
      </c>
      <c r="D31" s="69">
        <f>$F$9*(1+$F$10)^($A$31-1)</f>
        <v>59606540.278217994</v>
      </c>
      <c r="E31" s="66"/>
      <c r="F31" s="62">
        <f>$C$4*(1+$F$10)^($A$31-1)</f>
        <v>3588666.1241246946</v>
      </c>
      <c r="G31" s="62">
        <f>SUM(A31:F31)</f>
        <v>76612626.306493849</v>
      </c>
      <c r="H31" s="131">
        <f t="shared" si="1"/>
        <v>919.35151567792616</v>
      </c>
      <c r="I31" s="131">
        <f>SUM(H16:H31)</f>
        <v>14331.53475425416</v>
      </c>
    </row>
    <row r="32" spans="1:9" ht="29.25" thickBot="1">
      <c r="A32" s="48">
        <v>17</v>
      </c>
      <c r="B32" s="62">
        <f t="shared" si="0"/>
        <v>11578703.639199078</v>
      </c>
      <c r="C32" s="69">
        <f>$F$8*(1+$F$10)^($A$32-1)</f>
        <v>1866280.7689263718</v>
      </c>
      <c r="D32" s="69">
        <f>$F$9*(1+$F$10)^($A$32-1)</f>
        <v>60500638.382391259</v>
      </c>
      <c r="E32" s="66">
        <f>I4</f>
        <v>45471401.449832059</v>
      </c>
      <c r="F32" s="62">
        <f>$C$4*(1+$F$10)^($A$32-1)</f>
        <v>3642496.1159865647</v>
      </c>
      <c r="G32" s="62">
        <f t="shared" si="2"/>
        <v>123059520.35633533</v>
      </c>
      <c r="H32" s="131">
        <f t="shared" si="1"/>
        <v>1476.7142442760239</v>
      </c>
      <c r="I32" s="131">
        <f>SUM(H16:H32)</f>
        <v>15808.248998530184</v>
      </c>
    </row>
    <row r="33" spans="1:9" ht="29.25" thickBot="1">
      <c r="A33" s="48">
        <v>18</v>
      </c>
      <c r="B33" s="62">
        <f t="shared" si="0"/>
        <v>11578703.639199078</v>
      </c>
      <c r="C33" s="69">
        <f>$F$8*(1+$F$10)^($A$33-1)</f>
        <v>1894274.980460267</v>
      </c>
      <c r="D33" s="69">
        <f>$F$9*(1+$F$10)^($A$33-1)</f>
        <v>61408147.958127119</v>
      </c>
      <c r="E33" s="66"/>
      <c r="F33" s="62">
        <f>$C$4*(1+$F$10)^($A$33-1)</f>
        <v>3697133.5577263627</v>
      </c>
      <c r="G33" s="62">
        <f t="shared" si="2"/>
        <v>78578260.135512829</v>
      </c>
      <c r="H33" s="131">
        <f t="shared" si="1"/>
        <v>942.93912162615391</v>
      </c>
      <c r="I33" s="131">
        <f>SUM(H16:H33)</f>
        <v>16751.188120156337</v>
      </c>
    </row>
    <row r="34" spans="1:9" ht="29.25" thickBot="1">
      <c r="A34" s="48">
        <v>19</v>
      </c>
      <c r="B34" s="62">
        <f t="shared" si="0"/>
        <v>11578703.639199078</v>
      </c>
      <c r="C34" s="69">
        <f>$F$8*(1+$F$10)^($A$34-1)</f>
        <v>1922689.105167171</v>
      </c>
      <c r="D34" s="69">
        <f>$F$9*(1+$F$10)^($A$34-1)</f>
        <v>62329270.177499019</v>
      </c>
      <c r="E34" s="66"/>
      <c r="F34" s="62">
        <f>$C$4*(1+$F$10)^($A$34-1)</f>
        <v>3752590.561092258</v>
      </c>
      <c r="G34" s="62">
        <f t="shared" si="2"/>
        <v>79583253.482957527</v>
      </c>
      <c r="H34" s="131">
        <f t="shared" si="1"/>
        <v>954.99904179549026</v>
      </c>
      <c r="I34" s="131">
        <f>SUM(H16:H34)</f>
        <v>17706.187161951828</v>
      </c>
    </row>
    <row r="35" spans="1:9" ht="29.25" thickBot="1">
      <c r="A35" s="48">
        <v>20</v>
      </c>
      <c r="B35" s="62">
        <f>$C$11</f>
        <v>11578703.639199078</v>
      </c>
      <c r="C35" s="69">
        <f>$F$8*(1+$F$10)^($A$35-1)</f>
        <v>1951529.4417446784</v>
      </c>
      <c r="D35" s="69">
        <f>$F$9*(1+$F$10)^($A$35-1)</f>
        <v>63264209.230161496</v>
      </c>
      <c r="E35" s="66"/>
      <c r="F35" s="62">
        <f>$C$4*(1+$F$10)^($A$35-1)</f>
        <v>3808879.4195086416</v>
      </c>
      <c r="G35" s="62">
        <f t="shared" si="2"/>
        <v>80603321.730613887</v>
      </c>
      <c r="H35" s="131">
        <f t="shared" si="1"/>
        <v>967.23986076736662</v>
      </c>
      <c r="I35" s="131">
        <f>SUM(H16:H35)</f>
        <v>18673.427022719196</v>
      </c>
    </row>
    <row r="36" spans="1:9" ht="29.25" thickBot="1">
      <c r="A36" s="48">
        <v>21</v>
      </c>
      <c r="B36" s="62">
        <f t="shared" si="0"/>
        <v>11578703.639199078</v>
      </c>
      <c r="C36" s="69">
        <f>$F$8*(1+$F$10)^($A$36-1)</f>
        <v>1980802.3833708479</v>
      </c>
      <c r="D36" s="69">
        <f>$F$9*(1+$F$10)^($A$36-1)</f>
        <v>64213172.368613899</v>
      </c>
      <c r="E36" s="66"/>
      <c r="F36" s="62">
        <f>$C$4*(1+$F$10)^($A$36-1)</f>
        <v>3866012.6108012698</v>
      </c>
      <c r="G36" s="62">
        <f t="shared" si="2"/>
        <v>81638691.001985088</v>
      </c>
      <c r="H36" s="131">
        <f t="shared" si="1"/>
        <v>979.66429202382108</v>
      </c>
      <c r="I36" s="131">
        <f>SUM(H16:H36)</f>
        <v>19653.091314743018</v>
      </c>
    </row>
    <row r="37" spans="1:9" ht="29.25" thickBot="1">
      <c r="A37" s="48">
        <v>22</v>
      </c>
      <c r="B37" s="62">
        <f t="shared" si="0"/>
        <v>11578703.639199078</v>
      </c>
      <c r="C37" s="69">
        <f>$F$8*(1+$F$10)^($A$37-1)</f>
        <v>2010514.4191214105</v>
      </c>
      <c r="D37" s="69">
        <f>$F$9*(1+$F$10)^($A$37-1)</f>
        <v>65176369.954143107</v>
      </c>
      <c r="E37" s="66"/>
      <c r="F37" s="62">
        <f>$C$4*(1+$F$10)^($A$37-1)</f>
        <v>3924002.7999632885</v>
      </c>
      <c r="G37" s="62">
        <f t="shared" si="2"/>
        <v>82689590.812426895</v>
      </c>
      <c r="H37" s="131">
        <f t="shared" si="1"/>
        <v>992.27508974912269</v>
      </c>
      <c r="I37" s="131">
        <f>SUM(H16:H37)</f>
        <v>20645.366404492142</v>
      </c>
    </row>
    <row r="38" spans="1:9" ht="29.25" thickBot="1">
      <c r="A38" s="48">
        <v>23</v>
      </c>
      <c r="B38" s="62">
        <f t="shared" si="0"/>
        <v>11578703.639199078</v>
      </c>
      <c r="C38" s="69">
        <f>$F$8*(1+$F$10)^($A$38-1)</f>
        <v>2040672.1354082313</v>
      </c>
      <c r="D38" s="69">
        <f>$F$9*(1+$F$10)^($A$38-1)</f>
        <v>66154015.503455237</v>
      </c>
      <c r="E38" s="66"/>
      <c r="F38" s="62">
        <f>$C$4*(1+$F$10)^($A$38-1)</f>
        <v>3982862.841962737</v>
      </c>
      <c r="G38" s="62">
        <f t="shared" si="2"/>
        <v>83756254.120025292</v>
      </c>
      <c r="H38" s="131">
        <f t="shared" si="1"/>
        <v>1005.0750494403036</v>
      </c>
      <c r="I38" s="131">
        <f>SUM(H16:H38)</f>
        <v>21650.441453932446</v>
      </c>
    </row>
    <row r="39" spans="1:9" ht="29.25" thickBot="1">
      <c r="A39" s="48">
        <v>24</v>
      </c>
      <c r="B39" s="62">
        <f t="shared" si="0"/>
        <v>11578703.639199078</v>
      </c>
      <c r="C39" s="69">
        <f>$F$8*(1+$F$10)^($A$39-1)</f>
        <v>2071282.2174393546</v>
      </c>
      <c r="D39" s="69">
        <f>$F$9*(1+$F$10)^($A$39-1)</f>
        <v>67146325.736007065</v>
      </c>
      <c r="E39" s="66"/>
      <c r="F39" s="62">
        <f>$C$4*(1+$F$10)^($A$39-1)</f>
        <v>4042605.7845921777</v>
      </c>
      <c r="G39" s="62">
        <f t="shared" si="2"/>
        <v>84838917.377237678</v>
      </c>
      <c r="H39" s="131">
        <f t="shared" si="1"/>
        <v>1018.0670085268521</v>
      </c>
      <c r="I39" s="131">
        <f>SUM(H16:H39)</f>
        <v>22668.5084624593</v>
      </c>
    </row>
    <row r="40" spans="1:9" ht="29.25" thickBot="1">
      <c r="A40" s="48" t="s">
        <v>38</v>
      </c>
      <c r="B40" s="70">
        <f>SUM(B16:B39)</f>
        <v>277888887.34077787</v>
      </c>
      <c r="C40" s="58">
        <f>SUM(C16:C39)</f>
        <v>42110951.780063346</v>
      </c>
      <c r="D40" s="58">
        <f>SUM(D16:D39)</f>
        <v>1365142645.2031569</v>
      </c>
      <c r="E40" s="73">
        <f>SUM(E16:E39)</f>
        <v>121710155.45687163</v>
      </c>
      <c r="F40" s="62">
        <f>SUM(F16:F39)</f>
        <v>82189658.090738118</v>
      </c>
      <c r="G40" s="62">
        <f t="shared" si="2"/>
        <v>1889042297.871608</v>
      </c>
      <c r="H40" s="17"/>
      <c r="I40" s="69">
        <f>12*G40/1000000</f>
        <v>22668.507574459298</v>
      </c>
    </row>
    <row r="41" spans="1:9" ht="29.25" thickBot="1">
      <c r="B41" s="70">
        <f>B40*12</f>
        <v>3334666648.0893345</v>
      </c>
      <c r="C41" s="58">
        <f t="shared" ref="C41:I41" si="3">C40*12</f>
        <v>505331421.36076015</v>
      </c>
      <c r="D41" s="58">
        <f t="shared" si="3"/>
        <v>16381711742.437883</v>
      </c>
      <c r="E41" s="73">
        <f t="shared" si="3"/>
        <v>1460521865.4824595</v>
      </c>
      <c r="F41" s="62">
        <f t="shared" si="3"/>
        <v>986275897.08885741</v>
      </c>
      <c r="G41" s="62">
        <f t="shared" si="3"/>
        <v>22668507574.459297</v>
      </c>
      <c r="H41" s="17">
        <f t="shared" si="3"/>
        <v>0</v>
      </c>
      <c r="I41" s="69">
        <f t="shared" si="3"/>
        <v>272022.09089351154</v>
      </c>
    </row>
  </sheetData>
  <mergeCells count="11">
    <mergeCell ref="A7:B7"/>
    <mergeCell ref="A8:B8"/>
    <mergeCell ref="A9:B9"/>
    <mergeCell ref="A10:B10"/>
    <mergeCell ref="A11:B11"/>
    <mergeCell ref="A6:B6"/>
    <mergeCell ref="A1:G1"/>
    <mergeCell ref="A2:B2"/>
    <mergeCell ref="A3:B3"/>
    <mergeCell ref="A4:B4"/>
    <mergeCell ref="A5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7" workbookViewId="0">
      <selection activeCell="J12" sqref="J12"/>
    </sheetView>
  </sheetViews>
  <sheetFormatPr defaultColWidth="11.42578125" defaultRowHeight="15"/>
  <cols>
    <col min="1" max="1" width="25.42578125" customWidth="1"/>
    <col min="2" max="2" width="20.85546875" customWidth="1"/>
    <col min="3" max="3" width="25.7109375" customWidth="1"/>
    <col min="4" max="4" width="24.28515625" customWidth="1"/>
    <col min="5" max="5" width="22.85546875" customWidth="1"/>
  </cols>
  <sheetData>
    <row r="1" spans="1:5" ht="34.5">
      <c r="C1" s="115" t="s">
        <v>144</v>
      </c>
    </row>
    <row r="2" spans="1:5" ht="28.5">
      <c r="C2" s="14" t="s">
        <v>148</v>
      </c>
    </row>
    <row r="3" spans="1:5" ht="15.75" thickBot="1"/>
    <row r="4" spans="1:5" ht="86.25" thickBot="1">
      <c r="A4" s="94" t="s">
        <v>138</v>
      </c>
      <c r="B4" s="94" t="s">
        <v>139</v>
      </c>
      <c r="C4" s="94" t="s">
        <v>140</v>
      </c>
      <c r="D4" s="94" t="s">
        <v>145</v>
      </c>
      <c r="E4" s="94" t="s">
        <v>146</v>
      </c>
    </row>
    <row r="5" spans="1:5" ht="29.25" thickBot="1">
      <c r="A5" s="70">
        <f>'24 Years Cost of  DX'!B40</f>
        <v>277888887.34077787</v>
      </c>
      <c r="B5" s="58">
        <f>'24 Years Cost of  DX'!C40</f>
        <v>42110951.780063346</v>
      </c>
      <c r="C5" s="58">
        <f>'24 Years Cost of  DX'!D40</f>
        <v>1365142645.2031569</v>
      </c>
      <c r="D5" s="70">
        <f>'24 Years Cost of  DX'!E40</f>
        <v>121710155.45687163</v>
      </c>
      <c r="E5" s="58">
        <f>'24 Years Cost of  DX'!F40</f>
        <v>82189658.090738118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B7" sqref="B7"/>
    </sheetView>
  </sheetViews>
  <sheetFormatPr defaultColWidth="11.42578125" defaultRowHeight="15"/>
  <cols>
    <col min="1" max="1" width="49.28515625" customWidth="1"/>
    <col min="2" max="2" width="29.7109375" customWidth="1"/>
    <col min="3" max="3" width="27.28515625" customWidth="1"/>
    <col min="4" max="4" width="27.85546875" customWidth="1"/>
  </cols>
  <sheetData>
    <row r="1" spans="1:4" ht="28.5">
      <c r="A1" s="15" t="s">
        <v>177</v>
      </c>
      <c r="B1" s="15"/>
      <c r="C1" s="15"/>
      <c r="D1" s="14"/>
    </row>
    <row r="2" spans="1:4" s="15" customFormat="1" ht="27">
      <c r="A2" s="15" t="s">
        <v>58</v>
      </c>
      <c r="B2" s="15" t="s">
        <v>99</v>
      </c>
      <c r="C2" s="15" t="s">
        <v>100</v>
      </c>
    </row>
    <row r="4" spans="1:4" ht="28.5">
      <c r="A4" s="45"/>
      <c r="B4" s="43"/>
      <c r="C4" s="43"/>
      <c r="D4" s="43"/>
    </row>
    <row r="5" spans="1:4" ht="29.25" thickBot="1">
      <c r="A5" s="46"/>
      <c r="B5" s="44"/>
      <c r="C5" s="44"/>
      <c r="D5" s="44"/>
    </row>
    <row r="6" spans="1:4" ht="57.75" thickBot="1">
      <c r="A6" s="17"/>
      <c r="B6" s="74" t="s">
        <v>98</v>
      </c>
      <c r="C6" s="74" t="s">
        <v>96</v>
      </c>
      <c r="D6" s="74" t="s">
        <v>97</v>
      </c>
    </row>
    <row r="7" spans="1:4" ht="51.95" customHeight="1" thickBot="1">
      <c r="A7" s="42" t="s">
        <v>115</v>
      </c>
      <c r="B7" s="76">
        <f>12*'24 Years Cost of  DC '!B40/1000000</f>
        <v>1680.9627517616534</v>
      </c>
      <c r="C7" s="76">
        <f>12*'24 Years Cost of  VRF'!B40/1000000</f>
        <v>3289.235222366045</v>
      </c>
      <c r="D7" s="76">
        <f>12*'24 Years Cost of  DX'!B40/1000000</f>
        <v>3334.6666480893346</v>
      </c>
    </row>
    <row r="8" spans="1:4" ht="57.75" thickBot="1">
      <c r="A8" s="42" t="s">
        <v>95</v>
      </c>
      <c r="B8" s="76">
        <f>12*'24 Years Cost of  DC '!C40/1000000</f>
        <v>254.73109796114616</v>
      </c>
      <c r="C8" s="76">
        <f>12*'24 Years Cost of  VRF'!C40/1000000</f>
        <v>498.44679709154008</v>
      </c>
      <c r="D8" s="76">
        <f>12*'24 Years Cost of  DX'!C40/1000000</f>
        <v>505.33142136076015</v>
      </c>
    </row>
    <row r="9" spans="1:4" ht="57" customHeight="1" thickBot="1">
      <c r="A9" s="75" t="s">
        <v>113</v>
      </c>
      <c r="B9" s="76">
        <f>12*'24 Years Cost of  DC '!D40/1000000</f>
        <v>10562.055795222735</v>
      </c>
      <c r="C9" s="76">
        <f>12*'24 Years Cost of  VRF'!D40/1000000</f>
        <v>12504.760786155228</v>
      </c>
      <c r="D9" s="76">
        <f>12*'24 Years Cost of  DX'!D40/1000000</f>
        <v>16381.711742437883</v>
      </c>
    </row>
    <row r="10" spans="1:4" ht="32.25" thickBot="1">
      <c r="A10" s="90" t="s">
        <v>114</v>
      </c>
      <c r="B10" s="76">
        <f>12*'24 Years Cost of  DC '!E40/1000000</f>
        <v>2520.1795200000001</v>
      </c>
      <c r="C10" s="76">
        <f>12*'24 Years Cost of  VRF'!E40/1000000</f>
        <v>3271.7973227462699</v>
      </c>
      <c r="D10" s="76">
        <f>12*'24 Years Cost of  DX'!E40/1000000</f>
        <v>1460.5218654824596</v>
      </c>
    </row>
    <row r="11" spans="1:4" ht="57.75" thickBot="1">
      <c r="A11" s="80" t="s">
        <v>116</v>
      </c>
      <c r="B11" s="76">
        <f>12*'24 Years Cost of  DC '!F40/1000000</f>
        <v>2377.0477416066733</v>
      </c>
      <c r="C11" s="76">
        <f>12*'24 Years Cost of  VRF'!F40/1000000</f>
        <v>1264.4562783190479</v>
      </c>
      <c r="D11" s="76">
        <f>12*'24 Years Cost of  DX'!F40/1000000</f>
        <v>986.27589708885739</v>
      </c>
    </row>
    <row r="12" spans="1:4" ht="32.25" thickBot="1">
      <c r="A12" s="18" t="s">
        <v>207</v>
      </c>
      <c r="B12" s="76">
        <f>SUM(B6:B11)</f>
        <v>17394.976906552209</v>
      </c>
      <c r="C12" s="76">
        <f>SUM(C6:C11)</f>
        <v>20828.696406678129</v>
      </c>
      <c r="D12" s="76">
        <f>SUM(D6:D11)</f>
        <v>22668.507574459294</v>
      </c>
    </row>
    <row r="13" spans="1:4" ht="57.75" thickBot="1">
      <c r="A13" s="42" t="s">
        <v>125</v>
      </c>
      <c r="B13" s="76">
        <f>$B$7+$B$8</f>
        <v>1935.6938497227995</v>
      </c>
      <c r="C13" s="76">
        <f>$C$7+$C$8</f>
        <v>3787.6820194575853</v>
      </c>
      <c r="D13" s="76">
        <f>$D$7+$D$8</f>
        <v>3839.9980694500946</v>
      </c>
    </row>
    <row r="14" spans="1:4" ht="57.75" thickBot="1">
      <c r="A14" s="42" t="s">
        <v>147</v>
      </c>
      <c r="B14" s="17"/>
      <c r="C14" s="17"/>
      <c r="D14" s="17"/>
    </row>
  </sheetData>
  <pageMargins left="0.7" right="0.7" top="0.75" bottom="0.75" header="0.3" footer="0.3"/>
  <pageSetup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70" workbookViewId="0">
      <selection activeCell="C60" sqref="C60"/>
    </sheetView>
  </sheetViews>
  <sheetFormatPr defaultColWidth="11.42578125" defaultRowHeight="15"/>
  <cols>
    <col min="1" max="1" width="24.85546875" bestFit="1" customWidth="1"/>
    <col min="2" max="2" width="27" bestFit="1" customWidth="1"/>
    <col min="3" max="3" width="24.85546875" bestFit="1" customWidth="1"/>
  </cols>
  <sheetData>
    <row r="1" spans="1:3" ht="28.5">
      <c r="A1" s="116" t="s">
        <v>102</v>
      </c>
      <c r="B1" s="116" t="s">
        <v>101</v>
      </c>
      <c r="C1" s="116" t="s">
        <v>103</v>
      </c>
    </row>
    <row r="2" spans="1:3" ht="31.5">
      <c r="A2" s="117">
        <f>'24 Years Cost of  DX'!I23</f>
        <v>6805.9752176708944</v>
      </c>
      <c r="B2" s="117">
        <f>'24 Years Cost of  VRF'!I23</f>
        <v>6788.7723018832039</v>
      </c>
      <c r="C2" s="117">
        <f>'24 Years Cost of  DC '!I23</f>
        <v>6966.2079451837662</v>
      </c>
    </row>
    <row r="3" spans="1:3" ht="31.5">
      <c r="A3" s="117">
        <f>'24 Years Cost of  DX'!I31</f>
        <v>14331.53475425416</v>
      </c>
      <c r="B3" s="117">
        <f>'24 Years Cost of  VRF'!I31</f>
        <v>14400.058832565923</v>
      </c>
      <c r="C3" s="117">
        <f>'24 Years Cost of  DC '!I31</f>
        <v>11903.749482690915</v>
      </c>
    </row>
    <row r="4" spans="1:3" ht="31.5">
      <c r="A4" s="117">
        <f>'24Years Cost of 3 Alertinatives'!D12</f>
        <v>22668.507574459294</v>
      </c>
      <c r="B4" s="117">
        <f>'24Years Cost of 3 Alertinatives'!C12</f>
        <v>20828.696406678129</v>
      </c>
      <c r="C4" s="117">
        <f>'24Years Cost of 3 Alertinatives'!B12</f>
        <v>17394.976906552209</v>
      </c>
    </row>
    <row r="56" spans="1:7" ht="28.5">
      <c r="A56" s="116" t="s">
        <v>174</v>
      </c>
      <c r="B56" s="116" t="s">
        <v>175</v>
      </c>
      <c r="C56" s="116" t="s">
        <v>176</v>
      </c>
      <c r="F56" s="116" t="s">
        <v>64</v>
      </c>
    </row>
    <row r="57" spans="1:7" ht="31.5">
      <c r="A57" s="117">
        <f>A2</f>
        <v>6805.9752176708944</v>
      </c>
      <c r="B57" s="117">
        <f>A3</f>
        <v>14331.53475425416</v>
      </c>
      <c r="C57" s="117">
        <f>A4</f>
        <v>22668.507574459294</v>
      </c>
      <c r="F57" s="116" t="s">
        <v>102</v>
      </c>
    </row>
    <row r="58" spans="1:7" ht="31.5">
      <c r="A58" s="117">
        <f>B2</f>
        <v>6788.7723018832039</v>
      </c>
      <c r="B58" s="117">
        <f>B3</f>
        <v>14400.058832565923</v>
      </c>
      <c r="C58" s="117">
        <f>'24Years Cost of 3 Alertinatives'!C12</f>
        <v>20828.696406678129</v>
      </c>
      <c r="F58" s="116" t="s">
        <v>101</v>
      </c>
    </row>
    <row r="59" spans="1:7" ht="31.5">
      <c r="A59" s="117">
        <f>C2</f>
        <v>6966.2079451837662</v>
      </c>
      <c r="B59" s="117">
        <f>C3</f>
        <v>11903.749482690915</v>
      </c>
      <c r="C59" s="117">
        <f>C4</f>
        <v>17394.976906552209</v>
      </c>
      <c r="E59" s="35"/>
      <c r="F59" s="116" t="s">
        <v>103</v>
      </c>
      <c r="G59" s="3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ColWidth="11.42578125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topLeftCell="B19" workbookViewId="0">
      <selection activeCell="AD18" sqref="AD18"/>
    </sheetView>
  </sheetViews>
  <sheetFormatPr defaultColWidth="11.42578125" defaultRowHeight="15"/>
  <cols>
    <col min="2" max="4" width="15.42578125" bestFit="1" customWidth="1"/>
  </cols>
  <sheetData>
    <row r="1" spans="2:4" ht="29.25" thickBot="1">
      <c r="B1" s="94" t="s">
        <v>102</v>
      </c>
      <c r="C1" s="94" t="s">
        <v>101</v>
      </c>
      <c r="D1" s="94" t="s">
        <v>103</v>
      </c>
    </row>
    <row r="2" spans="2:4" ht="31.5">
      <c r="B2" s="91">
        <f>'24Years Cost of 3 Alertinatives'!D13</f>
        <v>3839.9980694500946</v>
      </c>
      <c r="C2" s="91">
        <f>'24Years Cost of 3 Alertinatives'!C13</f>
        <v>3787.6820194575853</v>
      </c>
      <c r="D2" s="91">
        <f>'24Years Cost of 3 Alertinatives'!B13</f>
        <v>1935.6938497227995</v>
      </c>
    </row>
    <row r="59" spans="2:8">
      <c r="B59" s="35"/>
      <c r="C59" s="35"/>
      <c r="D59" s="35"/>
      <c r="F59" s="35"/>
      <c r="G59" s="35"/>
      <c r="H59" s="3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topLeftCell="A4" workbookViewId="0">
      <selection activeCell="F3" sqref="F3"/>
    </sheetView>
  </sheetViews>
  <sheetFormatPr defaultColWidth="11.42578125" defaultRowHeight="15"/>
  <cols>
    <col min="2" max="4" width="15.42578125" bestFit="1" customWidth="1"/>
  </cols>
  <sheetData>
    <row r="1" spans="2:4" ht="29.25" thickBot="1">
      <c r="B1" s="94" t="s">
        <v>102</v>
      </c>
      <c r="C1" s="94" t="s">
        <v>101</v>
      </c>
      <c r="D1" s="94" t="s">
        <v>103</v>
      </c>
    </row>
    <row r="2" spans="2:4" ht="32.25" thickBot="1">
      <c r="B2" s="118">
        <f>12*'24 Years Cost of  DX'!C3</f>
        <v>1761.6000000000001</v>
      </c>
      <c r="C2" s="118">
        <f>12*'24 Years Cost of  VRF'!C3</f>
        <v>1737.6000000000001</v>
      </c>
      <c r="D2" s="118">
        <f>12*'24 Years Cost of  DC '!C3</f>
        <v>888</v>
      </c>
    </row>
    <row r="59" spans="2:8">
      <c r="B59" s="35"/>
      <c r="C59" s="35"/>
      <c r="D59" s="35"/>
      <c r="F59" s="35"/>
      <c r="G59" s="35"/>
      <c r="H59" s="3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workbookViewId="0">
      <selection activeCell="B2" sqref="B2"/>
    </sheetView>
  </sheetViews>
  <sheetFormatPr defaultColWidth="11.42578125" defaultRowHeight="15"/>
  <cols>
    <col min="2" max="4" width="15.42578125" bestFit="1" customWidth="1"/>
  </cols>
  <sheetData>
    <row r="1" spans="2:4" ht="29.25" thickBot="1">
      <c r="B1" s="94" t="s">
        <v>102</v>
      </c>
      <c r="C1" s="94" t="s">
        <v>101</v>
      </c>
      <c r="D1" s="94" t="s">
        <v>103</v>
      </c>
    </row>
    <row r="2" spans="2:4" ht="32.25" thickBot="1">
      <c r="B2" s="114">
        <f>'24Years Cost of 3 Alertinatives'!$D$9</f>
        <v>16381.711742437883</v>
      </c>
      <c r="C2" s="114">
        <f>'24Years Cost of 3 Alertinatives'!$C$9</f>
        <v>12504.760786155228</v>
      </c>
      <c r="D2" s="114">
        <f>'24Years Cost of 3 Alertinatives'!$B$9</f>
        <v>10562.055795222735</v>
      </c>
    </row>
    <row r="59" spans="2:8">
      <c r="B59" s="35"/>
      <c r="C59" s="35"/>
      <c r="D59" s="35"/>
      <c r="F59" s="35"/>
      <c r="G59" s="35"/>
      <c r="H59" s="35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80" zoomScaleNormal="80" workbookViewId="0">
      <selection activeCell="N45" sqref="N45"/>
    </sheetView>
  </sheetViews>
  <sheetFormatPr defaultColWidth="11.42578125" defaultRowHeight="15"/>
  <cols>
    <col min="1" max="1" width="21.85546875" bestFit="1" customWidth="1"/>
    <col min="2" max="2" width="24.85546875" bestFit="1" customWidth="1"/>
    <col min="3" max="3" width="17.140625" bestFit="1" customWidth="1"/>
    <col min="5" max="5" width="15" customWidth="1"/>
  </cols>
  <sheetData>
    <row r="1" spans="1:5" ht="29.25">
      <c r="A1" s="119" t="s">
        <v>157</v>
      </c>
      <c r="B1" s="116"/>
      <c r="C1" s="116"/>
    </row>
    <row r="2" spans="1:5" ht="31.5">
      <c r="A2" s="116" t="s">
        <v>102</v>
      </c>
      <c r="B2" s="116" t="s">
        <v>101</v>
      </c>
      <c r="C2" s="116" t="s">
        <v>103</v>
      </c>
      <c r="D2" s="120">
        <v>0.87</v>
      </c>
      <c r="E2" s="123" t="s">
        <v>156</v>
      </c>
    </row>
    <row r="3" spans="1:5" ht="36">
      <c r="A3" s="116">
        <f>'24 Years Cost of  DX'!F3</f>
        <v>405135.8</v>
      </c>
      <c r="B3" s="116">
        <f>'24 Years Cost of  VRF'!F3</f>
        <v>309255</v>
      </c>
      <c r="C3" s="122">
        <f>'24 Years Cost of  DC '!F3</f>
        <v>261210</v>
      </c>
      <c r="D3" s="121" t="s">
        <v>155</v>
      </c>
    </row>
    <row r="4" spans="1:5" ht="31.5">
      <c r="A4" s="117">
        <f>D2*A3</f>
        <v>352468.14600000001</v>
      </c>
      <c r="B4" s="117">
        <f>D2*B3</f>
        <v>269051.84999999998</v>
      </c>
      <c r="C4" s="117">
        <f>D2*C3</f>
        <v>227252.7</v>
      </c>
      <c r="D4" s="14" t="s">
        <v>158</v>
      </c>
      <c r="E4" s="14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00" workbookViewId="0">
      <selection activeCell="F3" sqref="F3"/>
    </sheetView>
  </sheetViews>
  <sheetFormatPr defaultColWidth="11.42578125" defaultRowHeight="15"/>
  <cols>
    <col min="2" max="2" width="10.8554687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D24" sqref="D24"/>
    </sheetView>
  </sheetViews>
  <sheetFormatPr defaultColWidth="11.42578125" defaultRowHeight="15"/>
  <cols>
    <col min="1" max="1" width="60" customWidth="1"/>
    <col min="2" max="2" width="17.42578125" bestFit="1" customWidth="1"/>
    <col min="3" max="3" width="16.42578125" customWidth="1"/>
    <col min="4" max="4" width="21" customWidth="1"/>
  </cols>
  <sheetData>
    <row r="1" spans="1:10" ht="26.25">
      <c r="A1" s="12" t="s">
        <v>126</v>
      </c>
      <c r="B1" s="13"/>
      <c r="D1" s="12"/>
      <c r="E1" s="12"/>
      <c r="F1" s="12"/>
      <c r="G1" s="12"/>
      <c r="H1" s="12"/>
      <c r="I1" s="12"/>
    </row>
    <row r="3" spans="1:10" ht="26.25">
      <c r="A3" s="12" t="s">
        <v>28</v>
      </c>
      <c r="C3" s="13"/>
      <c r="E3" s="13"/>
    </row>
    <row r="6" spans="1:10" ht="15.75" thickBot="1"/>
    <row r="7" spans="1:10" ht="47.25" thickBot="1">
      <c r="A7" s="31" t="s">
        <v>29</v>
      </c>
      <c r="B7" s="77">
        <v>1500</v>
      </c>
      <c r="C7" s="30" t="s">
        <v>108</v>
      </c>
    </row>
    <row r="8" spans="1:10" ht="47.25" thickBot="1">
      <c r="A8" s="31" t="s">
        <v>106</v>
      </c>
      <c r="B8" s="32">
        <f>'DC Annual Consumption '!C19</f>
        <v>83588.800000000003</v>
      </c>
      <c r="C8" s="30" t="s">
        <v>5</v>
      </c>
      <c r="D8" s="4"/>
    </row>
    <row r="9" spans="1:10" ht="47.25" thickBot="1">
      <c r="A9" s="31" t="s">
        <v>32</v>
      </c>
      <c r="B9" s="32">
        <f>$B$7*$B$8/1000000</f>
        <v>125.3832</v>
      </c>
      <c r="C9" s="30" t="s">
        <v>123</v>
      </c>
      <c r="D9" s="10" t="s">
        <v>62</v>
      </c>
    </row>
    <row r="10" spans="1:10" ht="28.5">
      <c r="D10" s="14" t="s">
        <v>63</v>
      </c>
    </row>
    <row r="14" spans="1:10" ht="28.5">
      <c r="A14" s="14" t="s">
        <v>35</v>
      </c>
    </row>
    <row r="15" spans="1:10" ht="15.75" thickBot="1"/>
    <row r="16" spans="1:10" ht="27" thickBot="1">
      <c r="A16" s="27" t="s">
        <v>178</v>
      </c>
      <c r="B16" s="28" t="s">
        <v>36</v>
      </c>
      <c r="C16" s="28" t="s">
        <v>179</v>
      </c>
      <c r="D16" s="28" t="s">
        <v>42</v>
      </c>
      <c r="G16" s="1"/>
      <c r="H16" s="1"/>
      <c r="I16" s="1"/>
      <c r="J16" s="1"/>
    </row>
    <row r="17" spans="1:11" ht="26.25" thickBot="1">
      <c r="A17" s="27" t="s">
        <v>180</v>
      </c>
      <c r="B17" s="19" t="s">
        <v>181</v>
      </c>
      <c r="C17" s="19" t="s">
        <v>182</v>
      </c>
      <c r="D17" s="19" t="s">
        <v>183</v>
      </c>
      <c r="G17" s="1"/>
      <c r="H17" s="1"/>
      <c r="I17" s="1"/>
      <c r="J17" s="1"/>
      <c r="K17" s="1"/>
    </row>
    <row r="18" spans="1:11" ht="26.25" thickBot="1">
      <c r="A18" s="27">
        <v>1200</v>
      </c>
      <c r="B18" s="19">
        <f>3.3*825</f>
        <v>2722.5</v>
      </c>
      <c r="C18" s="19">
        <v>6000</v>
      </c>
      <c r="D18" s="29">
        <f>$B$18*$C$18/1000000</f>
        <v>16.335000000000001</v>
      </c>
      <c r="F18" s="35"/>
    </row>
    <row r="19" spans="1:11" ht="26.25" thickBot="1">
      <c r="A19" s="27">
        <v>750</v>
      </c>
      <c r="B19" s="19">
        <f>3.3*570</f>
        <v>1881</v>
      </c>
      <c r="C19" s="19">
        <v>3000</v>
      </c>
      <c r="D19" s="29">
        <f>$B$19*$C$19/1000000</f>
        <v>5.6429999999999998</v>
      </c>
    </row>
    <row r="20" spans="1:11" ht="26.25" thickBot="1">
      <c r="A20" s="27">
        <v>350</v>
      </c>
      <c r="B20" s="19">
        <f>3.3*350</f>
        <v>1155</v>
      </c>
      <c r="C20" s="19">
        <v>16000</v>
      </c>
      <c r="D20" s="29">
        <f>$B$20*$C$20/1000000</f>
        <v>18.48</v>
      </c>
    </row>
    <row r="21" spans="1:11" ht="26.25" thickBot="1">
      <c r="A21" s="27">
        <v>200</v>
      </c>
      <c r="B21" s="19">
        <f>3.3*260</f>
        <v>858</v>
      </c>
      <c r="C21" s="19">
        <v>32000</v>
      </c>
      <c r="D21" s="29">
        <f>$B$21*$C$21/1000000</f>
        <v>27.456</v>
      </c>
    </row>
    <row r="22" spans="1:11" ht="24" thickBot="1">
      <c r="A22" s="17"/>
      <c r="B22" s="17"/>
      <c r="C22" s="30" t="s">
        <v>38</v>
      </c>
      <c r="D22" s="29">
        <f>SUM(D18:D21)</f>
        <v>67.914000000000001</v>
      </c>
    </row>
    <row r="23" spans="1:11" ht="32.25" thickBot="1">
      <c r="A23" s="27" t="s">
        <v>150</v>
      </c>
      <c r="B23" s="88">
        <v>200</v>
      </c>
      <c r="C23" s="125">
        <f>B8</f>
        <v>83588.800000000003</v>
      </c>
      <c r="D23" s="126">
        <f>B23*C23/1000000</f>
        <v>16.717759999999998</v>
      </c>
    </row>
    <row r="24" spans="1:11" ht="32.25" thickBot="1">
      <c r="A24" s="97" t="s">
        <v>124</v>
      </c>
      <c r="B24" s="17"/>
      <c r="C24" s="17"/>
      <c r="D24" s="127">
        <f>B9+D22+D23</f>
        <v>210.01496</v>
      </c>
    </row>
    <row r="25" spans="1:11" ht="28.5">
      <c r="A25" s="14" t="s">
        <v>43</v>
      </c>
    </row>
    <row r="26" spans="1:11" ht="28.5">
      <c r="A26" s="14" t="s">
        <v>37</v>
      </c>
    </row>
  </sheetData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M26"/>
  <sheetViews>
    <sheetView workbookViewId="0">
      <selection activeCell="D11" sqref="D11"/>
    </sheetView>
  </sheetViews>
  <sheetFormatPr defaultColWidth="11.42578125" defaultRowHeight="15"/>
  <cols>
    <col min="1" max="1" width="37.42578125" customWidth="1"/>
    <col min="2" max="2" width="0.140625" customWidth="1"/>
    <col min="3" max="3" width="19.140625" customWidth="1"/>
    <col min="4" max="4" width="20.28515625" customWidth="1"/>
    <col min="5" max="5" width="20.7109375" customWidth="1"/>
    <col min="6" max="6" width="21.7109375" customWidth="1"/>
  </cols>
  <sheetData>
    <row r="1" spans="1:585" ht="26.25">
      <c r="A1" s="12" t="s">
        <v>127</v>
      </c>
      <c r="B1" s="13"/>
      <c r="D1" s="12"/>
      <c r="E1" s="12"/>
      <c r="F1" s="12"/>
      <c r="G1" s="12"/>
      <c r="H1" s="12"/>
      <c r="I1" s="12"/>
    </row>
    <row r="2" spans="1:585" ht="29.25" thickBot="1">
      <c r="A2" s="146"/>
      <c r="B2" s="147"/>
      <c r="C2" s="92"/>
      <c r="D2" s="93"/>
      <c r="E2" s="93"/>
      <c r="F2" s="93"/>
    </row>
    <row r="3" spans="1:585" ht="57.75" thickBot="1">
      <c r="A3" s="148"/>
      <c r="B3" s="149"/>
      <c r="C3" s="47"/>
      <c r="D3" s="94" t="s">
        <v>161</v>
      </c>
      <c r="E3" s="94" t="s">
        <v>162</v>
      </c>
      <c r="F3" s="94"/>
    </row>
    <row r="4" spans="1:585" s="97" customFormat="1" ht="29.25" thickBot="1">
      <c r="A4" s="97" t="s">
        <v>129</v>
      </c>
      <c r="B4" s="17"/>
      <c r="C4" s="47">
        <v>4</v>
      </c>
      <c r="D4" s="17"/>
      <c r="E4" s="98"/>
      <c r="F4" s="17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  <c r="IW4" s="99"/>
      <c r="IX4" s="99"/>
      <c r="IY4" s="99"/>
      <c r="IZ4" s="99"/>
      <c r="JA4" s="99"/>
      <c r="JB4" s="99"/>
      <c r="JC4" s="99"/>
      <c r="JD4" s="99"/>
      <c r="JE4" s="99"/>
      <c r="JF4" s="99"/>
      <c r="JG4" s="99"/>
      <c r="JH4" s="99"/>
      <c r="JI4" s="99"/>
      <c r="JJ4" s="99"/>
      <c r="JK4" s="99"/>
      <c r="JL4" s="99"/>
      <c r="JM4" s="99"/>
      <c r="JN4" s="99"/>
      <c r="JO4" s="99"/>
      <c r="JP4" s="99"/>
      <c r="JQ4" s="99"/>
      <c r="JR4" s="99"/>
      <c r="JS4" s="99"/>
      <c r="JT4" s="99"/>
      <c r="JU4" s="99"/>
      <c r="JV4" s="99"/>
      <c r="JW4" s="99"/>
      <c r="JX4" s="99"/>
      <c r="JY4" s="99"/>
      <c r="JZ4" s="99"/>
      <c r="KA4" s="99"/>
      <c r="KB4" s="99"/>
      <c r="KC4" s="99"/>
      <c r="KD4" s="99"/>
      <c r="KE4" s="99"/>
      <c r="KF4" s="99"/>
      <c r="KG4" s="99"/>
      <c r="KH4" s="99"/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99"/>
      <c r="KW4" s="99"/>
      <c r="KX4" s="99"/>
      <c r="KY4" s="99"/>
      <c r="KZ4" s="99"/>
      <c r="LA4" s="99"/>
      <c r="LB4" s="99"/>
      <c r="LC4" s="99"/>
      <c r="LD4" s="99"/>
      <c r="LE4" s="99"/>
      <c r="LF4" s="99"/>
      <c r="LG4" s="99"/>
      <c r="LH4" s="99"/>
      <c r="LI4" s="99"/>
      <c r="LJ4" s="99"/>
      <c r="LK4" s="99"/>
      <c r="LL4" s="99"/>
      <c r="LM4" s="99"/>
      <c r="LN4" s="99"/>
      <c r="LO4" s="99"/>
      <c r="LP4" s="99"/>
      <c r="LQ4" s="99"/>
      <c r="LR4" s="99"/>
      <c r="LS4" s="99"/>
      <c r="LT4" s="99"/>
      <c r="LU4" s="99"/>
      <c r="LV4" s="99"/>
      <c r="LW4" s="99"/>
      <c r="LX4" s="99"/>
      <c r="LY4" s="99"/>
      <c r="LZ4" s="99"/>
      <c r="MA4" s="99"/>
      <c r="MB4" s="99"/>
      <c r="MC4" s="99"/>
      <c r="MD4" s="99"/>
      <c r="ME4" s="99"/>
      <c r="MF4" s="99"/>
      <c r="MG4" s="99"/>
      <c r="MH4" s="99"/>
      <c r="MI4" s="99"/>
      <c r="MJ4" s="99"/>
      <c r="MK4" s="99"/>
      <c r="ML4" s="99"/>
      <c r="MM4" s="99"/>
      <c r="MN4" s="99"/>
      <c r="MO4" s="99"/>
      <c r="MP4" s="99"/>
      <c r="MQ4" s="99"/>
      <c r="MR4" s="99"/>
      <c r="MS4" s="99"/>
      <c r="MT4" s="99"/>
      <c r="MU4" s="99"/>
      <c r="MV4" s="99"/>
      <c r="MW4" s="99"/>
      <c r="MX4" s="99"/>
      <c r="MY4" s="99"/>
      <c r="MZ4" s="99"/>
      <c r="NA4" s="99"/>
      <c r="NB4" s="99"/>
      <c r="NC4" s="99"/>
      <c r="ND4" s="99"/>
      <c r="NE4" s="99"/>
      <c r="NF4" s="99"/>
      <c r="NG4" s="99"/>
      <c r="NH4" s="99"/>
      <c r="NI4" s="99"/>
      <c r="NJ4" s="99"/>
      <c r="NK4" s="99"/>
      <c r="NL4" s="99"/>
      <c r="NM4" s="99"/>
      <c r="NN4" s="99"/>
      <c r="NO4" s="99"/>
      <c r="NP4" s="99"/>
      <c r="NQ4" s="99"/>
      <c r="NR4" s="99"/>
      <c r="NS4" s="99"/>
      <c r="NT4" s="99"/>
      <c r="NU4" s="99"/>
      <c r="NV4" s="99"/>
      <c r="NW4" s="99"/>
      <c r="NX4" s="99"/>
      <c r="NY4" s="99"/>
      <c r="NZ4" s="99"/>
      <c r="OA4" s="99"/>
      <c r="OB4" s="99"/>
      <c r="OC4" s="99"/>
      <c r="OD4" s="99"/>
      <c r="OE4" s="99"/>
      <c r="OF4" s="99"/>
      <c r="OG4" s="99"/>
      <c r="OH4" s="99"/>
      <c r="OI4" s="99"/>
      <c r="OJ4" s="99"/>
      <c r="OK4" s="99"/>
      <c r="OL4" s="99"/>
      <c r="OM4" s="99"/>
      <c r="ON4" s="99"/>
      <c r="OO4" s="99"/>
      <c r="OP4" s="99"/>
      <c r="OQ4" s="99"/>
      <c r="OR4" s="99"/>
      <c r="OS4" s="99"/>
      <c r="OT4" s="99"/>
      <c r="OU4" s="99"/>
      <c r="OV4" s="99"/>
      <c r="OW4" s="99"/>
      <c r="OX4" s="99"/>
      <c r="OY4" s="99"/>
      <c r="OZ4" s="99"/>
      <c r="PA4" s="99"/>
      <c r="PB4" s="99"/>
      <c r="PC4" s="99"/>
      <c r="PD4" s="99"/>
      <c r="PE4" s="99"/>
      <c r="PF4" s="99"/>
      <c r="PG4" s="99"/>
      <c r="PH4" s="99"/>
      <c r="PI4" s="99"/>
      <c r="PJ4" s="99"/>
      <c r="PK4" s="99"/>
      <c r="PL4" s="99"/>
      <c r="PM4" s="99"/>
      <c r="PN4" s="99"/>
      <c r="PO4" s="99"/>
      <c r="PP4" s="99"/>
      <c r="PQ4" s="99"/>
      <c r="PR4" s="99"/>
      <c r="PS4" s="99"/>
      <c r="PT4" s="99"/>
      <c r="PU4" s="99"/>
      <c r="PV4" s="99"/>
      <c r="PW4" s="99"/>
      <c r="PX4" s="99"/>
      <c r="PY4" s="99"/>
      <c r="PZ4" s="99"/>
      <c r="QA4" s="99"/>
      <c r="QB4" s="99"/>
      <c r="QC4" s="99"/>
      <c r="QD4" s="99"/>
      <c r="QE4" s="99"/>
      <c r="QF4" s="99"/>
      <c r="QG4" s="99"/>
      <c r="QH4" s="99"/>
      <c r="QI4" s="99"/>
      <c r="QJ4" s="99"/>
      <c r="QK4" s="99"/>
      <c r="QL4" s="99"/>
      <c r="QM4" s="99"/>
      <c r="QN4" s="99"/>
      <c r="QO4" s="99"/>
      <c r="QP4" s="99"/>
      <c r="QQ4" s="99"/>
      <c r="QR4" s="99"/>
      <c r="QS4" s="99"/>
      <c r="QT4" s="99"/>
      <c r="QU4" s="99"/>
      <c r="QV4" s="99"/>
      <c r="QW4" s="99"/>
      <c r="QX4" s="99"/>
      <c r="QY4" s="99"/>
      <c r="QZ4" s="99"/>
      <c r="RA4" s="99"/>
      <c r="RB4" s="99"/>
      <c r="RC4" s="99"/>
      <c r="RD4" s="99"/>
      <c r="RE4" s="99"/>
      <c r="RF4" s="99"/>
      <c r="RG4" s="99"/>
      <c r="RH4" s="99"/>
      <c r="RI4" s="99"/>
      <c r="RJ4" s="99"/>
      <c r="RK4" s="99"/>
      <c r="RL4" s="99"/>
      <c r="RM4" s="99"/>
      <c r="RN4" s="99"/>
      <c r="RO4" s="99"/>
      <c r="RP4" s="99"/>
      <c r="RQ4" s="99"/>
      <c r="RR4" s="99"/>
      <c r="RS4" s="99"/>
      <c r="RT4" s="99"/>
      <c r="RU4" s="99"/>
      <c r="RV4" s="99"/>
      <c r="RW4" s="99"/>
      <c r="RX4" s="99"/>
      <c r="RY4" s="99"/>
      <c r="RZ4" s="99"/>
      <c r="SA4" s="99"/>
      <c r="SB4" s="99"/>
      <c r="SC4" s="99"/>
      <c r="SD4" s="99"/>
      <c r="SE4" s="99"/>
      <c r="SF4" s="99"/>
      <c r="SG4" s="99"/>
      <c r="SH4" s="99"/>
      <c r="SI4" s="99"/>
      <c r="SJ4" s="99"/>
      <c r="SK4" s="99"/>
      <c r="SL4" s="99"/>
      <c r="SM4" s="99"/>
      <c r="SN4" s="99"/>
      <c r="SO4" s="99"/>
      <c r="SP4" s="99"/>
      <c r="SQ4" s="99"/>
      <c r="SR4" s="99"/>
      <c r="SS4" s="99"/>
      <c r="ST4" s="99"/>
      <c r="SU4" s="99"/>
      <c r="SV4" s="99"/>
      <c r="SW4" s="99"/>
      <c r="SX4" s="99"/>
      <c r="SY4" s="99"/>
      <c r="SZ4" s="99"/>
      <c r="TA4" s="99"/>
      <c r="TB4" s="99"/>
      <c r="TC4" s="99"/>
      <c r="TD4" s="99"/>
      <c r="TE4" s="99"/>
      <c r="TF4" s="99"/>
      <c r="TG4" s="99"/>
      <c r="TH4" s="99"/>
      <c r="TI4" s="99"/>
      <c r="TJ4" s="99"/>
      <c r="TK4" s="99"/>
      <c r="TL4" s="99"/>
      <c r="TM4" s="99"/>
      <c r="TN4" s="99"/>
      <c r="TO4" s="99"/>
      <c r="TP4" s="99"/>
      <c r="TQ4" s="99"/>
      <c r="TR4" s="99"/>
      <c r="TS4" s="99"/>
      <c r="TT4" s="99"/>
      <c r="TU4" s="99"/>
      <c r="TV4" s="99"/>
      <c r="TW4" s="99"/>
      <c r="TX4" s="99"/>
      <c r="TY4" s="99"/>
      <c r="TZ4" s="99"/>
      <c r="UA4" s="99"/>
      <c r="UB4" s="99"/>
      <c r="UC4" s="99"/>
      <c r="UD4" s="99"/>
      <c r="UE4" s="99"/>
      <c r="UF4" s="99"/>
      <c r="UG4" s="99"/>
      <c r="UH4" s="99"/>
      <c r="UI4" s="99"/>
      <c r="UJ4" s="99"/>
      <c r="UK4" s="99"/>
      <c r="UL4" s="99"/>
      <c r="UM4" s="99"/>
      <c r="UN4" s="99"/>
      <c r="UO4" s="99"/>
      <c r="UP4" s="99"/>
      <c r="UQ4" s="99"/>
      <c r="UR4" s="99"/>
      <c r="US4" s="99"/>
      <c r="UT4" s="99"/>
      <c r="UU4" s="99"/>
      <c r="UV4" s="99"/>
      <c r="UW4" s="99"/>
      <c r="UX4" s="99"/>
      <c r="UY4" s="99"/>
      <c r="UZ4" s="99"/>
      <c r="VA4" s="99"/>
      <c r="VB4" s="99"/>
      <c r="VC4" s="99"/>
      <c r="VD4" s="99"/>
      <c r="VE4" s="99"/>
      <c r="VF4" s="99"/>
      <c r="VG4" s="99"/>
      <c r="VH4" s="99"/>
      <c r="VI4" s="99"/>
      <c r="VJ4" s="99"/>
      <c r="VK4" s="99"/>
      <c r="VL4" s="99"/>
      <c r="VM4" s="99"/>
    </row>
    <row r="5" spans="1:585" ht="53.25" thickBot="1">
      <c r="A5" s="100" t="s">
        <v>131</v>
      </c>
      <c r="B5" s="97"/>
      <c r="C5" s="47">
        <v>2300</v>
      </c>
      <c r="D5" s="97"/>
      <c r="E5" s="97"/>
      <c r="F5" s="97"/>
    </row>
    <row r="6" spans="1:585" ht="29.25" thickBot="1">
      <c r="A6" s="97" t="s">
        <v>130</v>
      </c>
      <c r="B6" s="17"/>
      <c r="C6" s="47">
        <v>10</v>
      </c>
      <c r="D6" s="17"/>
      <c r="E6" s="17"/>
      <c r="F6" s="17"/>
    </row>
    <row r="7" spans="1:585" ht="47.25" thickBot="1">
      <c r="A7" s="31" t="s">
        <v>128</v>
      </c>
      <c r="B7" s="77">
        <v>2700</v>
      </c>
      <c r="C7" s="96"/>
      <c r="D7" s="58">
        <v>2700</v>
      </c>
      <c r="E7" s="58">
        <f>$D$7*(1+$D$8)^12-1</f>
        <v>3227.16906294614</v>
      </c>
      <c r="F7" s="58"/>
    </row>
    <row r="8" spans="1:585" ht="29.25" thickBot="1">
      <c r="A8" s="102" t="s">
        <v>89</v>
      </c>
      <c r="B8" s="94">
        <v>1.4999999999999999E-2</v>
      </c>
      <c r="C8" s="101"/>
      <c r="D8" s="94">
        <v>1.4999999999999999E-2</v>
      </c>
      <c r="E8" s="94">
        <v>1.4999999999999999E-2</v>
      </c>
      <c r="F8" s="94"/>
    </row>
    <row r="9" spans="1:585" ht="29.25" thickBot="1">
      <c r="A9" s="150" t="s">
        <v>132</v>
      </c>
      <c r="B9" s="151"/>
      <c r="C9" s="94"/>
      <c r="D9" s="94">
        <v>0.03</v>
      </c>
      <c r="E9" s="94">
        <v>0.04</v>
      </c>
      <c r="F9" s="94"/>
    </row>
    <row r="10" spans="1:585" ht="51.75" thickBot="1">
      <c r="A10" s="104" t="s">
        <v>133</v>
      </c>
      <c r="B10" s="32">
        <f>$B$7*$B$8/1000000</f>
        <v>4.0500000000000002E-5</v>
      </c>
      <c r="C10" s="103"/>
      <c r="D10" s="105">
        <f>0.5*$C$4*$C$5*$C$6*$D$7</f>
        <v>124200000</v>
      </c>
      <c r="E10" s="105">
        <f>0.5*$C$4*$C$5*$C$6*$E$7</f>
        <v>148449776.89552245</v>
      </c>
      <c r="F10" s="105"/>
    </row>
    <row r="14" spans="1:585" ht="28.5">
      <c r="A14" s="14" t="s">
        <v>136</v>
      </c>
    </row>
    <row r="15" spans="1:585" ht="15.75" thickBot="1"/>
    <row r="16" spans="1:585" ht="70.5" thickBot="1">
      <c r="A16" s="8" t="s">
        <v>135</v>
      </c>
      <c r="B16" s="19"/>
      <c r="C16" s="58">
        <v>40</v>
      </c>
      <c r="D16" s="112"/>
      <c r="G16" s="1"/>
      <c r="H16" s="1"/>
      <c r="I16" s="1"/>
      <c r="J16" s="1"/>
    </row>
    <row r="17" spans="1:11" ht="47.25" thickBot="1">
      <c r="A17" s="8" t="s">
        <v>134</v>
      </c>
      <c r="B17" s="19"/>
      <c r="C17" s="105">
        <f>$C$4*$C$5*$C$6*$C$16</f>
        <v>3680000</v>
      </c>
      <c r="D17" s="113"/>
      <c r="G17" s="1"/>
      <c r="H17" s="1"/>
      <c r="I17" s="1"/>
      <c r="J17" s="1"/>
      <c r="K17" s="1"/>
    </row>
    <row r="18" spans="1:11" ht="28.5">
      <c r="A18" s="152"/>
      <c r="B18" s="153"/>
      <c r="C18" s="111"/>
      <c r="D18" s="108"/>
      <c r="F18" s="35"/>
    </row>
    <row r="19" spans="1:11" ht="28.5">
      <c r="A19" s="107"/>
      <c r="B19" s="68"/>
      <c r="C19" s="106"/>
      <c r="D19" s="108"/>
    </row>
    <row r="20" spans="1:11" ht="26.25">
      <c r="A20" s="107"/>
      <c r="B20" s="68"/>
      <c r="C20" s="109"/>
      <c r="D20" s="108"/>
    </row>
    <row r="21" spans="1:11" ht="23.25">
      <c r="A21" s="107"/>
      <c r="B21" s="68"/>
      <c r="C21" s="68"/>
      <c r="D21" s="108"/>
    </row>
    <row r="22" spans="1:11" ht="23.25">
      <c r="A22" s="43"/>
      <c r="B22" s="43"/>
      <c r="C22" s="110"/>
      <c r="D22" s="108"/>
    </row>
    <row r="23" spans="1:11" ht="31.5">
      <c r="A23" s="12"/>
      <c r="D23" s="78"/>
    </row>
    <row r="25" spans="1:11" ht="28.5">
      <c r="A25" s="14"/>
    </row>
    <row r="26" spans="1:11" ht="28.5">
      <c r="A26" s="14"/>
    </row>
  </sheetData>
  <mergeCells count="4">
    <mergeCell ref="A2:B2"/>
    <mergeCell ref="A3:B3"/>
    <mergeCell ref="A9:B9"/>
    <mergeCell ref="A18:B18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M26"/>
  <sheetViews>
    <sheetView workbookViewId="0">
      <selection activeCell="F10" sqref="F10"/>
    </sheetView>
  </sheetViews>
  <sheetFormatPr defaultColWidth="11.42578125" defaultRowHeight="15"/>
  <cols>
    <col min="1" max="1" width="37.42578125" customWidth="1"/>
    <col min="2" max="2" width="0.140625" customWidth="1"/>
    <col min="3" max="3" width="19.140625" customWidth="1"/>
    <col min="4" max="4" width="20.28515625" customWidth="1"/>
    <col min="5" max="5" width="20.7109375" customWidth="1"/>
    <col min="6" max="6" width="21.7109375" customWidth="1"/>
  </cols>
  <sheetData>
    <row r="1" spans="1:585" ht="26.25">
      <c r="A1" s="12" t="s">
        <v>137</v>
      </c>
      <c r="B1" s="13"/>
      <c r="D1" s="12"/>
      <c r="E1" s="12"/>
      <c r="F1" s="12"/>
      <c r="G1" s="12"/>
      <c r="H1" s="12"/>
      <c r="I1" s="12"/>
    </row>
    <row r="2" spans="1:585" ht="29.25" thickBot="1">
      <c r="A2" s="146"/>
      <c r="B2" s="147"/>
      <c r="C2" s="92"/>
      <c r="D2" s="93"/>
      <c r="E2" s="93"/>
      <c r="F2" s="93"/>
    </row>
    <row r="3" spans="1:585" ht="57.75" thickBot="1">
      <c r="A3" s="148"/>
      <c r="B3" s="149"/>
      <c r="C3" s="47"/>
      <c r="D3" s="94" t="s">
        <v>163</v>
      </c>
      <c r="E3" s="94" t="s">
        <v>164</v>
      </c>
      <c r="F3" s="94" t="s">
        <v>165</v>
      </c>
    </row>
    <row r="4" spans="1:585" s="97" customFormat="1" ht="29.25" thickBot="1">
      <c r="A4" s="97" t="s">
        <v>129</v>
      </c>
      <c r="B4" s="17"/>
      <c r="C4" s="47">
        <v>8</v>
      </c>
      <c r="D4" s="17"/>
      <c r="E4" s="98"/>
      <c r="F4" s="17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  <c r="IW4" s="99"/>
      <c r="IX4" s="99"/>
      <c r="IY4" s="99"/>
      <c r="IZ4" s="99"/>
      <c r="JA4" s="99"/>
      <c r="JB4" s="99"/>
      <c r="JC4" s="99"/>
      <c r="JD4" s="99"/>
      <c r="JE4" s="99"/>
      <c r="JF4" s="99"/>
      <c r="JG4" s="99"/>
      <c r="JH4" s="99"/>
      <c r="JI4" s="99"/>
      <c r="JJ4" s="99"/>
      <c r="JK4" s="99"/>
      <c r="JL4" s="99"/>
      <c r="JM4" s="99"/>
      <c r="JN4" s="99"/>
      <c r="JO4" s="99"/>
      <c r="JP4" s="99"/>
      <c r="JQ4" s="99"/>
      <c r="JR4" s="99"/>
      <c r="JS4" s="99"/>
      <c r="JT4" s="99"/>
      <c r="JU4" s="99"/>
      <c r="JV4" s="99"/>
      <c r="JW4" s="99"/>
      <c r="JX4" s="99"/>
      <c r="JY4" s="99"/>
      <c r="JZ4" s="99"/>
      <c r="KA4" s="99"/>
      <c r="KB4" s="99"/>
      <c r="KC4" s="99"/>
      <c r="KD4" s="99"/>
      <c r="KE4" s="99"/>
      <c r="KF4" s="99"/>
      <c r="KG4" s="99"/>
      <c r="KH4" s="99"/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99"/>
      <c r="KW4" s="99"/>
      <c r="KX4" s="99"/>
      <c r="KY4" s="99"/>
      <c r="KZ4" s="99"/>
      <c r="LA4" s="99"/>
      <c r="LB4" s="99"/>
      <c r="LC4" s="99"/>
      <c r="LD4" s="99"/>
      <c r="LE4" s="99"/>
      <c r="LF4" s="99"/>
      <c r="LG4" s="99"/>
      <c r="LH4" s="99"/>
      <c r="LI4" s="99"/>
      <c r="LJ4" s="99"/>
      <c r="LK4" s="99"/>
      <c r="LL4" s="99"/>
      <c r="LM4" s="99"/>
      <c r="LN4" s="99"/>
      <c r="LO4" s="99"/>
      <c r="LP4" s="99"/>
      <c r="LQ4" s="99"/>
      <c r="LR4" s="99"/>
      <c r="LS4" s="99"/>
      <c r="LT4" s="99"/>
      <c r="LU4" s="99"/>
      <c r="LV4" s="99"/>
      <c r="LW4" s="99"/>
      <c r="LX4" s="99"/>
      <c r="LY4" s="99"/>
      <c r="LZ4" s="99"/>
      <c r="MA4" s="99"/>
      <c r="MB4" s="99"/>
      <c r="MC4" s="99"/>
      <c r="MD4" s="99"/>
      <c r="ME4" s="99"/>
      <c r="MF4" s="99"/>
      <c r="MG4" s="99"/>
      <c r="MH4" s="99"/>
      <c r="MI4" s="99"/>
      <c r="MJ4" s="99"/>
      <c r="MK4" s="99"/>
      <c r="ML4" s="99"/>
      <c r="MM4" s="99"/>
      <c r="MN4" s="99"/>
      <c r="MO4" s="99"/>
      <c r="MP4" s="99"/>
      <c r="MQ4" s="99"/>
      <c r="MR4" s="99"/>
      <c r="MS4" s="99"/>
      <c r="MT4" s="99"/>
      <c r="MU4" s="99"/>
      <c r="MV4" s="99"/>
      <c r="MW4" s="99"/>
      <c r="MX4" s="99"/>
      <c r="MY4" s="99"/>
      <c r="MZ4" s="99"/>
      <c r="NA4" s="99"/>
      <c r="NB4" s="99"/>
      <c r="NC4" s="99"/>
      <c r="ND4" s="99"/>
      <c r="NE4" s="99"/>
      <c r="NF4" s="99"/>
      <c r="NG4" s="99"/>
      <c r="NH4" s="99"/>
      <c r="NI4" s="99"/>
      <c r="NJ4" s="99"/>
      <c r="NK4" s="99"/>
      <c r="NL4" s="99"/>
      <c r="NM4" s="99"/>
      <c r="NN4" s="99"/>
      <c r="NO4" s="99"/>
      <c r="NP4" s="99"/>
      <c r="NQ4" s="99"/>
      <c r="NR4" s="99"/>
      <c r="NS4" s="99"/>
      <c r="NT4" s="99"/>
      <c r="NU4" s="99"/>
      <c r="NV4" s="99"/>
      <c r="NW4" s="99"/>
      <c r="NX4" s="99"/>
      <c r="NY4" s="99"/>
      <c r="NZ4" s="99"/>
      <c r="OA4" s="99"/>
      <c r="OB4" s="99"/>
      <c r="OC4" s="99"/>
      <c r="OD4" s="99"/>
      <c r="OE4" s="99"/>
      <c r="OF4" s="99"/>
      <c r="OG4" s="99"/>
      <c r="OH4" s="99"/>
      <c r="OI4" s="99"/>
      <c r="OJ4" s="99"/>
      <c r="OK4" s="99"/>
      <c r="OL4" s="99"/>
      <c r="OM4" s="99"/>
      <c r="ON4" s="99"/>
      <c r="OO4" s="99"/>
      <c r="OP4" s="99"/>
      <c r="OQ4" s="99"/>
      <c r="OR4" s="99"/>
      <c r="OS4" s="99"/>
      <c r="OT4" s="99"/>
      <c r="OU4" s="99"/>
      <c r="OV4" s="99"/>
      <c r="OW4" s="99"/>
      <c r="OX4" s="99"/>
      <c r="OY4" s="99"/>
      <c r="OZ4" s="99"/>
      <c r="PA4" s="99"/>
      <c r="PB4" s="99"/>
      <c r="PC4" s="99"/>
      <c r="PD4" s="99"/>
      <c r="PE4" s="99"/>
      <c r="PF4" s="99"/>
      <c r="PG4" s="99"/>
      <c r="PH4" s="99"/>
      <c r="PI4" s="99"/>
      <c r="PJ4" s="99"/>
      <c r="PK4" s="99"/>
      <c r="PL4" s="99"/>
      <c r="PM4" s="99"/>
      <c r="PN4" s="99"/>
      <c r="PO4" s="99"/>
      <c r="PP4" s="99"/>
      <c r="PQ4" s="99"/>
      <c r="PR4" s="99"/>
      <c r="PS4" s="99"/>
      <c r="PT4" s="99"/>
      <c r="PU4" s="99"/>
      <c r="PV4" s="99"/>
      <c r="PW4" s="99"/>
      <c r="PX4" s="99"/>
      <c r="PY4" s="99"/>
      <c r="PZ4" s="99"/>
      <c r="QA4" s="99"/>
      <c r="QB4" s="99"/>
      <c r="QC4" s="99"/>
      <c r="QD4" s="99"/>
      <c r="QE4" s="99"/>
      <c r="QF4" s="99"/>
      <c r="QG4" s="99"/>
      <c r="QH4" s="99"/>
      <c r="QI4" s="99"/>
      <c r="QJ4" s="99"/>
      <c r="QK4" s="99"/>
      <c r="QL4" s="99"/>
      <c r="QM4" s="99"/>
      <c r="QN4" s="99"/>
      <c r="QO4" s="99"/>
      <c r="QP4" s="99"/>
      <c r="QQ4" s="99"/>
      <c r="QR4" s="99"/>
      <c r="QS4" s="99"/>
      <c r="QT4" s="99"/>
      <c r="QU4" s="99"/>
      <c r="QV4" s="99"/>
      <c r="QW4" s="99"/>
      <c r="QX4" s="99"/>
      <c r="QY4" s="99"/>
      <c r="QZ4" s="99"/>
      <c r="RA4" s="99"/>
      <c r="RB4" s="99"/>
      <c r="RC4" s="99"/>
      <c r="RD4" s="99"/>
      <c r="RE4" s="99"/>
      <c r="RF4" s="99"/>
      <c r="RG4" s="99"/>
      <c r="RH4" s="99"/>
      <c r="RI4" s="99"/>
      <c r="RJ4" s="99"/>
      <c r="RK4" s="99"/>
      <c r="RL4" s="99"/>
      <c r="RM4" s="99"/>
      <c r="RN4" s="99"/>
      <c r="RO4" s="99"/>
      <c r="RP4" s="99"/>
      <c r="RQ4" s="99"/>
      <c r="RR4" s="99"/>
      <c r="RS4" s="99"/>
      <c r="RT4" s="99"/>
      <c r="RU4" s="99"/>
      <c r="RV4" s="99"/>
      <c r="RW4" s="99"/>
      <c r="RX4" s="99"/>
      <c r="RY4" s="99"/>
      <c r="RZ4" s="99"/>
      <c r="SA4" s="99"/>
      <c r="SB4" s="99"/>
      <c r="SC4" s="99"/>
      <c r="SD4" s="99"/>
      <c r="SE4" s="99"/>
      <c r="SF4" s="99"/>
      <c r="SG4" s="99"/>
      <c r="SH4" s="99"/>
      <c r="SI4" s="99"/>
      <c r="SJ4" s="99"/>
      <c r="SK4" s="99"/>
      <c r="SL4" s="99"/>
      <c r="SM4" s="99"/>
      <c r="SN4" s="99"/>
      <c r="SO4" s="99"/>
      <c r="SP4" s="99"/>
      <c r="SQ4" s="99"/>
      <c r="SR4" s="99"/>
      <c r="SS4" s="99"/>
      <c r="ST4" s="99"/>
      <c r="SU4" s="99"/>
      <c r="SV4" s="99"/>
      <c r="SW4" s="99"/>
      <c r="SX4" s="99"/>
      <c r="SY4" s="99"/>
      <c r="SZ4" s="99"/>
      <c r="TA4" s="99"/>
      <c r="TB4" s="99"/>
      <c r="TC4" s="99"/>
      <c r="TD4" s="99"/>
      <c r="TE4" s="99"/>
      <c r="TF4" s="99"/>
      <c r="TG4" s="99"/>
      <c r="TH4" s="99"/>
      <c r="TI4" s="99"/>
      <c r="TJ4" s="99"/>
      <c r="TK4" s="99"/>
      <c r="TL4" s="99"/>
      <c r="TM4" s="99"/>
      <c r="TN4" s="99"/>
      <c r="TO4" s="99"/>
      <c r="TP4" s="99"/>
      <c r="TQ4" s="99"/>
      <c r="TR4" s="99"/>
      <c r="TS4" s="99"/>
      <c r="TT4" s="99"/>
      <c r="TU4" s="99"/>
      <c r="TV4" s="99"/>
      <c r="TW4" s="99"/>
      <c r="TX4" s="99"/>
      <c r="TY4" s="99"/>
      <c r="TZ4" s="99"/>
      <c r="UA4" s="99"/>
      <c r="UB4" s="99"/>
      <c r="UC4" s="99"/>
      <c r="UD4" s="99"/>
      <c r="UE4" s="99"/>
      <c r="UF4" s="99"/>
      <c r="UG4" s="99"/>
      <c r="UH4" s="99"/>
      <c r="UI4" s="99"/>
      <c r="UJ4" s="99"/>
      <c r="UK4" s="99"/>
      <c r="UL4" s="99"/>
      <c r="UM4" s="99"/>
      <c r="UN4" s="99"/>
      <c r="UO4" s="99"/>
      <c r="UP4" s="99"/>
      <c r="UQ4" s="99"/>
      <c r="UR4" s="99"/>
      <c r="US4" s="99"/>
      <c r="UT4" s="99"/>
      <c r="UU4" s="99"/>
      <c r="UV4" s="99"/>
      <c r="UW4" s="99"/>
      <c r="UX4" s="99"/>
      <c r="UY4" s="99"/>
      <c r="UZ4" s="99"/>
      <c r="VA4" s="99"/>
      <c r="VB4" s="99"/>
      <c r="VC4" s="99"/>
      <c r="VD4" s="99"/>
      <c r="VE4" s="99"/>
      <c r="VF4" s="99"/>
      <c r="VG4" s="99"/>
      <c r="VH4" s="99"/>
      <c r="VI4" s="99"/>
      <c r="VJ4" s="99"/>
      <c r="VK4" s="99"/>
      <c r="VL4" s="99"/>
      <c r="VM4" s="99"/>
    </row>
    <row r="5" spans="1:585" ht="53.25" thickBot="1">
      <c r="A5" s="100" t="s">
        <v>131</v>
      </c>
      <c r="B5" s="97"/>
      <c r="C5" s="47">
        <v>2300</v>
      </c>
      <c r="D5" s="97"/>
      <c r="E5" s="97"/>
      <c r="F5" s="97"/>
    </row>
    <row r="6" spans="1:585" ht="29.25" thickBot="1">
      <c r="A6" s="97" t="s">
        <v>130</v>
      </c>
      <c r="B6" s="17"/>
      <c r="C6" s="47">
        <v>6.5</v>
      </c>
      <c r="D6" s="17"/>
      <c r="E6" s="17"/>
      <c r="F6" s="17"/>
    </row>
    <row r="7" spans="1:585" ht="47.25" thickBot="1">
      <c r="A7" s="31" t="s">
        <v>128</v>
      </c>
      <c r="B7" s="77">
        <v>2700</v>
      </c>
      <c r="C7" s="96"/>
      <c r="D7" s="58">
        <v>600</v>
      </c>
      <c r="E7" s="58">
        <f>$D$7*(1+$D$8)^8-1</f>
        <v>674.89555195718344</v>
      </c>
      <c r="F7" s="58">
        <f>$D$7*(1+$F$8)^16-1</f>
        <v>760.39132859250935</v>
      </c>
    </row>
    <row r="8" spans="1:585" ht="29.25" thickBot="1">
      <c r="A8" s="102" t="s">
        <v>89</v>
      </c>
      <c r="B8" s="94">
        <v>1.4999999999999999E-2</v>
      </c>
      <c r="C8" s="101"/>
      <c r="D8" s="94">
        <v>1.4999999999999999E-2</v>
      </c>
      <c r="E8" s="94">
        <v>1.4999999999999999E-2</v>
      </c>
      <c r="F8" s="94">
        <v>1.4999999999999999E-2</v>
      </c>
    </row>
    <row r="9" spans="1:585" ht="29.25" thickBot="1">
      <c r="A9" s="150" t="s">
        <v>132</v>
      </c>
      <c r="B9" s="151"/>
      <c r="C9" s="94"/>
      <c r="D9" s="94">
        <v>0.03</v>
      </c>
      <c r="E9" s="94">
        <v>0.04</v>
      </c>
      <c r="F9" s="94">
        <v>0.05</v>
      </c>
    </row>
    <row r="10" spans="1:585" ht="51.75" thickBot="1">
      <c r="A10" s="104" t="s">
        <v>133</v>
      </c>
      <c r="B10" s="32">
        <f>$B$7*$B$8/1000000</f>
        <v>4.0500000000000002E-5</v>
      </c>
      <c r="C10" s="103"/>
      <c r="D10" s="105">
        <f>0.5*$C$4*$C$5*$C$6*$D$7</f>
        <v>35880000</v>
      </c>
      <c r="E10" s="105">
        <f>0.5*$C$4*$C$5*$C$6*$E$7</f>
        <v>40358754.007039569</v>
      </c>
      <c r="F10" s="105">
        <f>0.5*$C$4*$C$5*$C$6*$F$7</f>
        <v>45471401.449832059</v>
      </c>
    </row>
    <row r="14" spans="1:585" ht="28.5">
      <c r="A14" s="14" t="s">
        <v>136</v>
      </c>
    </row>
    <row r="15" spans="1:585" ht="15.75" thickBot="1"/>
    <row r="16" spans="1:585" ht="70.5" thickBot="1">
      <c r="A16" s="8" t="s">
        <v>135</v>
      </c>
      <c r="B16" s="19"/>
      <c r="C16" s="58">
        <v>24</v>
      </c>
      <c r="D16" s="112"/>
      <c r="G16" s="1"/>
      <c r="H16" s="1"/>
      <c r="I16" s="1"/>
      <c r="J16" s="1"/>
    </row>
    <row r="17" spans="1:11" ht="47.25" thickBot="1">
      <c r="A17" s="8" t="s">
        <v>173</v>
      </c>
      <c r="B17" s="19"/>
      <c r="C17" s="105">
        <f>$C$4*$C$5*$C$6*$C$16</f>
        <v>2870400</v>
      </c>
      <c r="D17" s="113"/>
      <c r="G17" s="1"/>
      <c r="H17" s="1"/>
      <c r="I17" s="1"/>
      <c r="J17" s="1"/>
      <c r="K17" s="1"/>
    </row>
    <row r="18" spans="1:11" ht="28.5">
      <c r="A18" s="152"/>
      <c r="B18" s="153"/>
      <c r="C18" s="111"/>
      <c r="D18" s="108"/>
      <c r="F18" s="35"/>
    </row>
    <row r="19" spans="1:11" ht="28.5">
      <c r="A19" s="107"/>
      <c r="B19" s="68"/>
      <c r="C19" s="106"/>
      <c r="D19" s="108"/>
    </row>
    <row r="20" spans="1:11" ht="26.25">
      <c r="A20" s="107"/>
      <c r="B20" s="68"/>
      <c r="C20" s="109"/>
      <c r="D20" s="108"/>
    </row>
    <row r="21" spans="1:11" ht="23.25">
      <c r="A21" s="107"/>
      <c r="B21" s="68"/>
      <c r="C21" s="68"/>
      <c r="D21" s="108"/>
    </row>
    <row r="22" spans="1:11" ht="23.25">
      <c r="A22" s="43"/>
      <c r="B22" s="43"/>
      <c r="C22" s="110"/>
      <c r="D22" s="108"/>
    </row>
    <row r="23" spans="1:11" ht="31.5">
      <c r="A23" s="12"/>
      <c r="D23" s="78"/>
    </row>
    <row r="25" spans="1:11" ht="28.5">
      <c r="A25" s="14"/>
    </row>
    <row r="26" spans="1:11" ht="28.5">
      <c r="A26" s="14"/>
    </row>
  </sheetData>
  <mergeCells count="4">
    <mergeCell ref="A2:B2"/>
    <mergeCell ref="A3:B3"/>
    <mergeCell ref="A9:B9"/>
    <mergeCell ref="A18:B18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7" workbookViewId="0">
      <selection activeCell="B41" sqref="B41:I41"/>
    </sheetView>
  </sheetViews>
  <sheetFormatPr defaultColWidth="11.42578125" defaultRowHeight="15"/>
  <cols>
    <col min="2" max="2" width="28.28515625" bestFit="1" customWidth="1"/>
    <col min="3" max="3" width="25.42578125" bestFit="1" customWidth="1"/>
    <col min="4" max="4" width="31" bestFit="1" customWidth="1"/>
    <col min="5" max="5" width="33.5703125" bestFit="1" customWidth="1"/>
    <col min="6" max="6" width="28.7109375" bestFit="1" customWidth="1"/>
    <col min="7" max="7" width="32.28515625" bestFit="1" customWidth="1"/>
    <col min="8" max="8" width="22" bestFit="1" customWidth="1"/>
    <col min="9" max="9" width="23.42578125" customWidth="1"/>
  </cols>
  <sheetData>
    <row r="1" spans="1:9" ht="51" customHeight="1">
      <c r="A1" s="158" t="s">
        <v>159</v>
      </c>
      <c r="B1" s="158"/>
      <c r="C1" s="158"/>
      <c r="D1" s="158"/>
      <c r="E1" s="158"/>
      <c r="F1" s="158"/>
      <c r="G1" s="158"/>
      <c r="H1" s="158"/>
      <c r="I1" s="11"/>
    </row>
    <row r="2" spans="1:9" ht="47.1" customHeight="1" thickBot="1">
      <c r="A2" s="159"/>
      <c r="B2" s="159"/>
      <c r="C2" s="51"/>
      <c r="D2" s="11"/>
      <c r="E2" s="52"/>
      <c r="F2" s="51"/>
      <c r="G2" s="11"/>
      <c r="H2" s="11"/>
      <c r="I2" s="11"/>
    </row>
    <row r="3" spans="1:9" ht="54" customHeight="1" thickBot="1">
      <c r="A3" s="156" t="s">
        <v>40</v>
      </c>
      <c r="B3" s="157"/>
      <c r="C3" s="47">
        <f>'DC Annual Consumption '!C21</f>
        <v>74</v>
      </c>
      <c r="D3" s="48"/>
      <c r="E3" s="53" t="s">
        <v>78</v>
      </c>
      <c r="F3" s="87">
        <f>'DC Annual Consumption '!C30</f>
        <v>261210</v>
      </c>
      <c r="G3" s="57"/>
      <c r="H3" s="11"/>
      <c r="I3" s="11"/>
    </row>
    <row r="4" spans="1:9" ht="57.95" customHeight="1" thickBot="1">
      <c r="A4" s="160" t="s">
        <v>72</v>
      </c>
      <c r="B4" s="161"/>
      <c r="C4" s="58">
        <f>1*'DC Annual Consumption '!C45</f>
        <v>6918021.4761885004</v>
      </c>
      <c r="D4" s="48"/>
      <c r="E4" s="59" t="s">
        <v>75</v>
      </c>
      <c r="F4" s="58">
        <f>1*'DC Annual Consumption '!C26</f>
        <v>210014960</v>
      </c>
      <c r="G4" s="11"/>
      <c r="H4" s="11"/>
      <c r="I4" s="11"/>
    </row>
    <row r="5" spans="1:9" ht="29.25" thickBot="1">
      <c r="A5" s="160" t="s">
        <v>76</v>
      </c>
      <c r="B5" s="161"/>
      <c r="C5" s="60">
        <v>1335774</v>
      </c>
      <c r="D5" s="48"/>
      <c r="E5" s="7" t="s">
        <v>77</v>
      </c>
      <c r="F5" s="61">
        <f>$C$3*$C$5</f>
        <v>98847276</v>
      </c>
      <c r="G5" s="11"/>
      <c r="H5" s="11"/>
      <c r="I5" s="11"/>
    </row>
    <row r="6" spans="1:9" ht="57.95" customHeight="1" thickBot="1">
      <c r="A6" s="154" t="s">
        <v>79</v>
      </c>
      <c r="B6" s="155"/>
      <c r="C6" s="61">
        <v>4</v>
      </c>
      <c r="D6" s="47"/>
      <c r="E6" s="63" t="s">
        <v>86</v>
      </c>
      <c r="F6" s="61">
        <f>$C$6*$F$3</f>
        <v>1044840</v>
      </c>
      <c r="G6" s="11"/>
      <c r="H6" s="11"/>
      <c r="I6" s="11"/>
    </row>
    <row r="7" spans="1:9" ht="57" customHeight="1" thickBot="1">
      <c r="A7" s="154" t="s">
        <v>80</v>
      </c>
      <c r="B7" s="155"/>
      <c r="C7" s="72">
        <v>17.358000000000001</v>
      </c>
      <c r="D7" s="47"/>
      <c r="E7" s="63" t="s">
        <v>85</v>
      </c>
      <c r="F7" s="61">
        <f>$C$7*$F$3</f>
        <v>4534083.18</v>
      </c>
      <c r="G7" s="11"/>
      <c r="H7" s="11"/>
      <c r="I7" s="11"/>
    </row>
    <row r="8" spans="1:9" ht="63.95" customHeight="1" thickBot="1">
      <c r="A8" s="154" t="s">
        <v>81</v>
      </c>
      <c r="B8" s="155"/>
      <c r="C8" s="64">
        <v>7.4999999999999997E-3</v>
      </c>
      <c r="D8" s="54"/>
      <c r="E8" s="65" t="s">
        <v>84</v>
      </c>
      <c r="F8" s="66">
        <f>$C$8*$F$5</f>
        <v>741354.57</v>
      </c>
      <c r="G8" s="55"/>
      <c r="H8" s="11"/>
      <c r="I8" s="11"/>
    </row>
    <row r="9" spans="1:9" ht="62.1" customHeight="1" thickBot="1">
      <c r="A9" s="154" t="s">
        <v>82</v>
      </c>
      <c r="B9" s="155"/>
      <c r="C9" s="67">
        <v>117.68</v>
      </c>
      <c r="D9" s="54"/>
      <c r="E9" s="65" t="s">
        <v>83</v>
      </c>
      <c r="F9" s="66">
        <f>$C$9*$F$3</f>
        <v>30739192.800000001</v>
      </c>
      <c r="G9" s="55"/>
      <c r="H9" s="11"/>
      <c r="I9" s="11"/>
    </row>
    <row r="10" spans="1:9" ht="57.75" thickBot="1">
      <c r="A10" s="156" t="s">
        <v>94</v>
      </c>
      <c r="B10" s="157"/>
      <c r="C10" s="53">
        <v>0.03</v>
      </c>
      <c r="D10" s="53"/>
      <c r="E10" s="53" t="s">
        <v>89</v>
      </c>
      <c r="F10" s="53">
        <v>1.4999999999999999E-2</v>
      </c>
      <c r="G10" s="56"/>
      <c r="H10" s="11"/>
      <c r="I10" s="11"/>
    </row>
    <row r="11" spans="1:9" ht="68.099999999999994" customHeight="1" thickBot="1">
      <c r="A11" s="156" t="s">
        <v>88</v>
      </c>
      <c r="B11" s="157"/>
      <c r="C11" s="66">
        <f>$F$5*($C$10*(1+$C$10)^24)/((1+$C$10)^24-1)</f>
        <v>5836676.2213946301</v>
      </c>
      <c r="D11" s="53"/>
      <c r="E11" s="53" t="s">
        <v>87</v>
      </c>
      <c r="F11" s="66">
        <f>$F$4*($C$10*(1+$C$10)^24)/((1+$C$10)^24-1)</f>
        <v>12400840.698626276</v>
      </c>
      <c r="G11" s="56"/>
      <c r="H11" s="11"/>
      <c r="I11" s="11"/>
    </row>
    <row r="12" spans="1:9" ht="28.5">
      <c r="A12" s="56"/>
      <c r="B12" s="56"/>
      <c r="C12" s="56"/>
      <c r="D12" s="56"/>
      <c r="E12" s="56"/>
      <c r="F12" s="56"/>
      <c r="G12" s="56"/>
      <c r="H12" s="11"/>
      <c r="I12" s="11"/>
    </row>
    <row r="13" spans="1:9" ht="28.5">
      <c r="A13" s="56"/>
      <c r="B13" s="56"/>
      <c r="C13" s="56"/>
      <c r="D13" s="56"/>
      <c r="E13" s="56"/>
      <c r="F13" s="56"/>
      <c r="G13" s="56"/>
      <c r="H13" s="11"/>
      <c r="I13" s="11"/>
    </row>
    <row r="14" spans="1:9" ht="29.25" thickBot="1">
      <c r="A14" s="56"/>
      <c r="B14" s="56" t="s">
        <v>202</v>
      </c>
      <c r="C14" s="68" t="s">
        <v>203</v>
      </c>
      <c r="D14" s="56" t="s">
        <v>204</v>
      </c>
      <c r="E14" s="56" t="s">
        <v>205</v>
      </c>
      <c r="F14" s="56" t="s">
        <v>206</v>
      </c>
      <c r="G14" s="56"/>
      <c r="H14" s="11"/>
      <c r="I14" s="11"/>
    </row>
    <row r="15" spans="1:9" ht="114.95" customHeight="1" thickBot="1">
      <c r="A15" s="47" t="s">
        <v>64</v>
      </c>
      <c r="B15" s="53" t="s">
        <v>66</v>
      </c>
      <c r="C15" s="71" t="s">
        <v>74</v>
      </c>
      <c r="D15" s="71" t="s">
        <v>67</v>
      </c>
      <c r="E15" s="71" t="s">
        <v>65</v>
      </c>
      <c r="F15" s="71" t="s">
        <v>69</v>
      </c>
      <c r="G15" s="71" t="s">
        <v>90</v>
      </c>
      <c r="H15" s="124" t="s">
        <v>184</v>
      </c>
      <c r="I15" s="124" t="s">
        <v>185</v>
      </c>
    </row>
    <row r="16" spans="1:9" ht="29.25" thickBot="1">
      <c r="A16" s="48">
        <v>1</v>
      </c>
      <c r="B16" s="62">
        <f>$C$11</f>
        <v>5836676.2213946301</v>
      </c>
      <c r="C16" s="69">
        <f>$F$8*(1+$F$10)^($A$16-1)</f>
        <v>741354.57</v>
      </c>
      <c r="D16" s="69">
        <f>$F$9*(1+$F$10)^($A$16-1)</f>
        <v>30739192.800000001</v>
      </c>
      <c r="E16" s="62">
        <f>F4</f>
        <v>210014960</v>
      </c>
      <c r="F16" s="69">
        <f>$C$4*(1+$F$10)^($A$16-1)</f>
        <v>6918021.4761885004</v>
      </c>
      <c r="G16" s="58">
        <f>SUM(A16:F16)</f>
        <v>254250206.06758314</v>
      </c>
      <c r="H16" s="130">
        <f>12*G16/1000000</f>
        <v>3051.0024728109979</v>
      </c>
      <c r="I16" s="130">
        <f>H16</f>
        <v>3051.0024728109979</v>
      </c>
    </row>
    <row r="17" spans="1:9" ht="29.25" thickBot="1">
      <c r="A17" s="48">
        <v>2</v>
      </c>
      <c r="B17" s="62">
        <f t="shared" ref="B17:B39" si="0">$C$11</f>
        <v>5836676.2213946301</v>
      </c>
      <c r="C17" s="69">
        <f>$F$8*(1+$F$10)^($A$17-1)</f>
        <v>752474.88854999992</v>
      </c>
      <c r="D17" s="69">
        <f>$F$9*(1+$F$10)^($A$17-1)</f>
        <v>31200280.691999998</v>
      </c>
      <c r="E17" s="62"/>
      <c r="F17" s="69">
        <f>$C$4*(1+$F$10)^($A$17-1)</f>
        <v>7021791.7983313268</v>
      </c>
      <c r="G17" s="58">
        <f>SUM(A17:F17)</f>
        <v>44811225.600275956</v>
      </c>
      <c r="H17" s="130">
        <f t="shared" ref="H17:H39" si="1">12*G17/1000000</f>
        <v>537.73470720331147</v>
      </c>
      <c r="I17" s="130">
        <f>SUM(H16:H17)</f>
        <v>3588.7371800143092</v>
      </c>
    </row>
    <row r="18" spans="1:9" ht="29.25" thickBot="1">
      <c r="A18" s="48">
        <v>3</v>
      </c>
      <c r="B18" s="62">
        <f t="shared" si="0"/>
        <v>5836676.2213946301</v>
      </c>
      <c r="C18" s="69">
        <f>$F$8*(1+$F$10)^($A$18-1)</f>
        <v>763762.0118782497</v>
      </c>
      <c r="D18" s="69">
        <f>$F$9*(1+$F$10)^($A$18-1)</f>
        <v>31668284.902379993</v>
      </c>
      <c r="E18" s="62"/>
      <c r="F18" s="69">
        <f>$C$4*(1+$F$10)^($A$18-1)</f>
        <v>7127118.675306296</v>
      </c>
      <c r="G18" s="58">
        <f>SUM(A18:F18)</f>
        <v>45395844.810959168</v>
      </c>
      <c r="H18" s="130">
        <f t="shared" si="1"/>
        <v>544.75013773150999</v>
      </c>
      <c r="I18" s="130">
        <f>SUM(H16:H18)</f>
        <v>4133.4873177458194</v>
      </c>
    </row>
    <row r="19" spans="1:9" ht="29.25" thickBot="1">
      <c r="A19" s="48">
        <v>4</v>
      </c>
      <c r="B19" s="62">
        <f t="shared" si="0"/>
        <v>5836676.2213946301</v>
      </c>
      <c r="C19" s="69">
        <f>$F$8*(1+$F$10)^($A$19-1)</f>
        <v>775218.4420564234</v>
      </c>
      <c r="D19" s="69">
        <f>$F$9*(1+$F$10)^($A$19-1)</f>
        <v>32143309.175915688</v>
      </c>
      <c r="E19" s="62"/>
      <c r="F19" s="69">
        <f>$C$4*(1+$F$10)^($A$19-1)</f>
        <v>7234025.4554358898</v>
      </c>
      <c r="G19" s="62">
        <f>SUM(B19:F19)</f>
        <v>45989229.294802628</v>
      </c>
      <c r="H19" s="130">
        <f t="shared" si="1"/>
        <v>551.87075153763146</v>
      </c>
      <c r="I19" s="130">
        <f>SUM(H16:H19)</f>
        <v>4685.3580692834512</v>
      </c>
    </row>
    <row r="20" spans="1:9" ht="29.25" thickBot="1">
      <c r="A20" s="48">
        <v>5</v>
      </c>
      <c r="B20" s="62">
        <f t="shared" si="0"/>
        <v>5836676.2213946301</v>
      </c>
      <c r="C20" s="69">
        <f>$F$8*(1+$F$10)^($A$20-1)</f>
        <v>786846.7186872696</v>
      </c>
      <c r="D20" s="69">
        <f>$F$9*(1+$F$10)^($A$20-1)</f>
        <v>32625458.813554417</v>
      </c>
      <c r="E20" s="62"/>
      <c r="F20" s="69">
        <f>$C$4*(1+$F$10)^($A$20-1)</f>
        <v>7342535.8372674268</v>
      </c>
      <c r="G20" s="62">
        <f t="shared" ref="G20:G39" si="2">SUM(B20:F20)</f>
        <v>46591517.590903744</v>
      </c>
      <c r="H20" s="130">
        <f t="shared" si="1"/>
        <v>559.09821109084487</v>
      </c>
      <c r="I20" s="130">
        <f>SUM(H16:H20)</f>
        <v>5244.4562803742956</v>
      </c>
    </row>
    <row r="21" spans="1:9" ht="29.25" thickBot="1">
      <c r="A21" s="48">
        <v>6</v>
      </c>
      <c r="B21" s="62">
        <f t="shared" si="0"/>
        <v>5836676.2213946301</v>
      </c>
      <c r="C21" s="69">
        <f>$F$8*(1+$F$10)^($A$21-1)</f>
        <v>798649.41946757853</v>
      </c>
      <c r="D21" s="69">
        <f>$F$9*(1+$F$10)^($A$21-1)</f>
        <v>33114840.695757732</v>
      </c>
      <c r="E21" s="62"/>
      <c r="F21" s="69">
        <f>$C$4*(1+$F$10)^($A$21-1)</f>
        <v>7452673.8748264369</v>
      </c>
      <c r="G21" s="62">
        <f t="shared" si="2"/>
        <v>47202840.211446382</v>
      </c>
      <c r="H21" s="130">
        <f t="shared" si="1"/>
        <v>566.43408253735663</v>
      </c>
      <c r="I21" s="130">
        <f>SUM(H16:H21)</f>
        <v>5810.8903629116521</v>
      </c>
    </row>
    <row r="22" spans="1:9" ht="29.25" thickBot="1">
      <c r="A22" s="48">
        <v>7</v>
      </c>
      <c r="B22" s="62">
        <f t="shared" si="0"/>
        <v>5836676.2213946301</v>
      </c>
      <c r="C22" s="69">
        <f>$F$8*(1+$F$10)^($A$22-1)</f>
        <v>810629.16075959208</v>
      </c>
      <c r="D22" s="69">
        <f>$F$9*(1+$F$10)^($A$22-1)</f>
        <v>33611563.306194089</v>
      </c>
      <c r="E22" s="62"/>
      <c r="F22" s="69">
        <f>$C$4*(1+$F$10)^($A$22-1)</f>
        <v>7564463.9829488322</v>
      </c>
      <c r="G22" s="62">
        <f t="shared" si="2"/>
        <v>47823332.67129714</v>
      </c>
      <c r="H22" s="130">
        <f t="shared" si="1"/>
        <v>573.87999205556571</v>
      </c>
      <c r="I22" s="130">
        <f>SUM(H16:H22)</f>
        <v>6384.7703549672178</v>
      </c>
    </row>
    <row r="23" spans="1:9" ht="29.25" thickBot="1">
      <c r="A23" s="48">
        <v>8</v>
      </c>
      <c r="B23" s="62">
        <f t="shared" si="0"/>
        <v>5836676.2213946301</v>
      </c>
      <c r="C23" s="69">
        <f>$F$8*(1+$F$10)^($A$23-1)</f>
        <v>822788.59817098582</v>
      </c>
      <c r="D23" s="69">
        <f>$F$9*(1+$F$10)^($A$23-1)</f>
        <v>34115736.755787</v>
      </c>
      <c r="E23" s="62"/>
      <c r="F23" s="69">
        <f>$C$4*(1+$F$10)^($A$23-1)</f>
        <v>7677930.942693064</v>
      </c>
      <c r="G23" s="62">
        <f t="shared" si="2"/>
        <v>48453132.518045679</v>
      </c>
      <c r="H23" s="130">
        <f t="shared" si="1"/>
        <v>581.43759021654819</v>
      </c>
      <c r="I23" s="130">
        <f>SUM(H16:H23)</f>
        <v>6966.2079451837662</v>
      </c>
    </row>
    <row r="24" spans="1:9" ht="29.25" thickBot="1">
      <c r="A24" s="48">
        <v>9</v>
      </c>
      <c r="B24" s="62">
        <f t="shared" si="0"/>
        <v>5836676.2213946301</v>
      </c>
      <c r="C24" s="69">
        <f>$F$8*(1+$F$10)^($A$24-1)</f>
        <v>835130.42714355059</v>
      </c>
      <c r="D24" s="69">
        <f>$F$9*(1+$F$10)^($A$24-1)</f>
        <v>34627472.807123795</v>
      </c>
      <c r="E24" s="62"/>
      <c r="F24" s="69">
        <f>$C$4*(1+$F$10)^($A$24-1)</f>
        <v>7793099.9068334587</v>
      </c>
      <c r="G24" s="62">
        <f t="shared" si="2"/>
        <v>49092379.362495437</v>
      </c>
      <c r="H24" s="130">
        <f t="shared" si="1"/>
        <v>589.10855234994528</v>
      </c>
      <c r="I24" s="130">
        <f>SUM(H16:H24)</f>
        <v>7555.3164975337113</v>
      </c>
    </row>
    <row r="25" spans="1:9" ht="29.25" thickBot="1">
      <c r="A25" s="48">
        <v>10</v>
      </c>
      <c r="B25" s="62">
        <f t="shared" si="0"/>
        <v>5836676.2213946301</v>
      </c>
      <c r="C25" s="69">
        <f>$F$8*(1+$F$10)^($A$25-1)</f>
        <v>847657.38355070376</v>
      </c>
      <c r="D25" s="69">
        <f>$F$9*(1+$F$10)^($A$25-1)</f>
        <v>35146884.899230652</v>
      </c>
      <c r="E25" s="62"/>
      <c r="F25" s="69">
        <f>$C$4*(1+$F$10)^($A$25-1)</f>
        <v>7909996.4054359598</v>
      </c>
      <c r="G25" s="62">
        <f t="shared" si="2"/>
        <v>49741214.90961194</v>
      </c>
      <c r="H25" s="130">
        <f t="shared" si="1"/>
        <v>596.89457891534323</v>
      </c>
      <c r="I25" s="130">
        <f>SUM(H16:H25)</f>
        <v>8152.2110764490544</v>
      </c>
    </row>
    <row r="26" spans="1:9" ht="29.25" thickBot="1">
      <c r="A26" s="48">
        <v>11</v>
      </c>
      <c r="B26" s="62">
        <f t="shared" si="0"/>
        <v>5836676.2213946301</v>
      </c>
      <c r="C26" s="69">
        <f>$F$8*(1+$F$10)^($A$26-1)</f>
        <v>860372.24430396419</v>
      </c>
      <c r="D26" s="69">
        <f>$F$9*(1+$F$10)^($A$26-1)</f>
        <v>35674088.172719106</v>
      </c>
      <c r="E26" s="62"/>
      <c r="F26" s="69">
        <f>$C$4*(1+$F$10)^($A$26-1)</f>
        <v>8028646.3515174985</v>
      </c>
      <c r="G26" s="62">
        <f t="shared" si="2"/>
        <v>50399782.989935197</v>
      </c>
      <c r="H26" s="130">
        <f t="shared" si="1"/>
        <v>604.79739587922245</v>
      </c>
      <c r="I26" s="130">
        <f>SUM(H16:H26)</f>
        <v>8757.0084723282762</v>
      </c>
    </row>
    <row r="27" spans="1:9" ht="29.25" thickBot="1">
      <c r="A27" s="48">
        <v>12</v>
      </c>
      <c r="B27" s="62">
        <f t="shared" si="0"/>
        <v>5836676.2213946301</v>
      </c>
      <c r="C27" s="69">
        <f>$F$8*(1+$F$10)^($A$27-1)</f>
        <v>873277.82796852349</v>
      </c>
      <c r="D27" s="69">
        <f>$F$9*(1+$F$10)^($A$27-1)</f>
        <v>36209199.495309889</v>
      </c>
      <c r="E27" s="62"/>
      <c r="F27" s="69">
        <f>$C$4*(1+$F$10)^($A$27-1)</f>
        <v>8149076.0467902599</v>
      </c>
      <c r="G27" s="62">
        <f t="shared" si="2"/>
        <v>51068229.591463298</v>
      </c>
      <c r="H27" s="130">
        <f t="shared" si="1"/>
        <v>612.81875509755957</v>
      </c>
      <c r="I27" s="130">
        <f>SUM(H16:H27)</f>
        <v>9369.8272274258361</v>
      </c>
    </row>
    <row r="28" spans="1:9" ht="29.25" thickBot="1">
      <c r="A28" s="48">
        <v>13</v>
      </c>
      <c r="B28" s="62">
        <f t="shared" si="0"/>
        <v>5836676.2213946301</v>
      </c>
      <c r="C28" s="69">
        <f>$F$8*(1+$F$10)^($A$28-1)</f>
        <v>886376.99538805115</v>
      </c>
      <c r="D28" s="69">
        <f>$F$9*(1+$F$10)^($A$28-1)</f>
        <v>36752337.487739533</v>
      </c>
      <c r="E28" s="62"/>
      <c r="F28" s="69">
        <f>$C$4*(1+$F$10)^($A$28-1)</f>
        <v>8271312.1874921117</v>
      </c>
      <c r="G28" s="62">
        <f t="shared" si="2"/>
        <v>51746702.892014325</v>
      </c>
      <c r="H28" s="130">
        <f t="shared" si="1"/>
        <v>620.96043470417192</v>
      </c>
      <c r="I28" s="130">
        <f>SUM(H16:H28)</f>
        <v>9990.7876621300074</v>
      </c>
    </row>
    <row r="29" spans="1:9" ht="29.25" thickBot="1">
      <c r="A29" s="48">
        <v>14</v>
      </c>
      <c r="B29" s="62">
        <f t="shared" si="0"/>
        <v>5836676.2213946301</v>
      </c>
      <c r="C29" s="69">
        <f>$F$8*(1+$F$10)^($A$29-1)</f>
        <v>899672.65031887195</v>
      </c>
      <c r="D29" s="69">
        <f>$F$9*(1+$F$10)^($A$29-1)</f>
        <v>37303622.550055623</v>
      </c>
      <c r="E29" s="62"/>
      <c r="F29" s="69">
        <f>$C$4*(1+$F$10)^($A$29-1)</f>
        <v>8395381.8703044932</v>
      </c>
      <c r="G29" s="62">
        <f t="shared" si="2"/>
        <v>52435353.292073622</v>
      </c>
      <c r="H29" s="130">
        <f t="shared" si="1"/>
        <v>629.22423950488349</v>
      </c>
      <c r="I29" s="130">
        <f>SUM(H16:H29)</f>
        <v>10620.011901634891</v>
      </c>
    </row>
    <row r="30" spans="1:9" ht="29.25" thickBot="1">
      <c r="A30" s="48">
        <v>15</v>
      </c>
      <c r="B30" s="62">
        <f t="shared" si="0"/>
        <v>5836676.2213946301</v>
      </c>
      <c r="C30" s="69">
        <f>$F$8*(1+$F$10)^($A$30-1)</f>
        <v>913167.7400736548</v>
      </c>
      <c r="D30" s="69">
        <f>$F$9*(1+$F$10)^($A$30-1)</f>
        <v>37863176.888306446</v>
      </c>
      <c r="E30" s="62"/>
      <c r="F30" s="69">
        <f>$C$4*(1+$F$10)^($A$30-1)</f>
        <v>8521312.5983590577</v>
      </c>
      <c r="G30" s="62">
        <f t="shared" si="2"/>
        <v>53134333.448133789</v>
      </c>
      <c r="H30" s="130">
        <f t="shared" si="1"/>
        <v>637.61200137760545</v>
      </c>
      <c r="I30" s="130">
        <f>SUM(H16:H30)</f>
        <v>11257.623903012496</v>
      </c>
    </row>
    <row r="31" spans="1:9" ht="29.25" thickBot="1">
      <c r="A31" s="48">
        <v>16</v>
      </c>
      <c r="B31" s="62">
        <f t="shared" si="0"/>
        <v>5836676.2213946301</v>
      </c>
      <c r="C31" s="69">
        <f>$F$8*(1+$F$10)^($A$31-1)</f>
        <v>926865.25617475947</v>
      </c>
      <c r="D31" s="69">
        <f>$F$9*(1+$F$10)^($A$31-1)</f>
        <v>38431124.541631036</v>
      </c>
      <c r="E31" s="62"/>
      <c r="F31" s="69">
        <f>$C$4*(1+$F$10)^($A$31-1)</f>
        <v>8649132.287334444</v>
      </c>
      <c r="G31" s="62">
        <f t="shared" si="2"/>
        <v>53843798.306534871</v>
      </c>
      <c r="H31" s="130">
        <f t="shared" si="1"/>
        <v>646.12557967841838</v>
      </c>
      <c r="I31" s="130">
        <f>SUM(H16:H31)</f>
        <v>11903.749482690915</v>
      </c>
    </row>
    <row r="32" spans="1:9" ht="29.25" thickBot="1">
      <c r="A32" s="48">
        <v>17</v>
      </c>
      <c r="B32" s="62">
        <f t="shared" si="0"/>
        <v>5836676.2213946301</v>
      </c>
      <c r="C32" s="69">
        <f>$F$8*(1+$F$10)^($A$32-1)</f>
        <v>940768.23501738068</v>
      </c>
      <c r="D32" s="69">
        <f>$F$9*(1+$F$10)^($A$32-1)</f>
        <v>39007591.409755498</v>
      </c>
      <c r="E32" s="62"/>
      <c r="F32" s="69">
        <f>$C$4*(1+$F$10)^($A$32-1)</f>
        <v>8778869.2716444582</v>
      </c>
      <c r="G32" s="62">
        <f t="shared" si="2"/>
        <v>54563905.137811966</v>
      </c>
      <c r="H32" s="130">
        <f t="shared" si="1"/>
        <v>654.7668616537436</v>
      </c>
      <c r="I32" s="130">
        <f>SUM(H16:H32)</f>
        <v>12558.516344344658</v>
      </c>
    </row>
    <row r="33" spans="1:9" ht="29.25" thickBot="1">
      <c r="A33" s="48">
        <v>18</v>
      </c>
      <c r="B33" s="62">
        <f t="shared" si="0"/>
        <v>5836676.2213946301</v>
      </c>
      <c r="C33" s="69">
        <f>$F$8*(1+$F$10)^($A$33-1)</f>
        <v>954879.7585426413</v>
      </c>
      <c r="D33" s="69">
        <f>$F$9*(1+$F$10)^($A$33-1)</f>
        <v>39592705.280901827</v>
      </c>
      <c r="E33" s="62"/>
      <c r="F33" s="69">
        <f>$C$4*(1+$F$10)^($A$33-1)</f>
        <v>8910552.310719125</v>
      </c>
      <c r="G33" s="62">
        <f t="shared" si="2"/>
        <v>55294813.571558222</v>
      </c>
      <c r="H33" s="130">
        <f t="shared" si="1"/>
        <v>663.53776285869856</v>
      </c>
      <c r="I33" s="130">
        <f>SUM(H16:H33)</f>
        <v>13222.054107203357</v>
      </c>
    </row>
    <row r="34" spans="1:9" ht="29.25" thickBot="1">
      <c r="A34" s="48">
        <v>19</v>
      </c>
      <c r="B34" s="62">
        <f t="shared" si="0"/>
        <v>5836676.2213946301</v>
      </c>
      <c r="C34" s="69">
        <f>$F$8*(1+$F$10)^($A$34-1)</f>
        <v>969202.95492078084</v>
      </c>
      <c r="D34" s="69">
        <f>$F$9*(1+$F$10)^($A$34-1)</f>
        <v>40186595.860115349</v>
      </c>
      <c r="E34" s="62"/>
      <c r="F34" s="69">
        <f>$C$4*(1+$F$10)^($A$34-1)</f>
        <v>9044210.5953799095</v>
      </c>
      <c r="G34" s="62">
        <f t="shared" si="2"/>
        <v>56036685.631810673</v>
      </c>
      <c r="H34" s="130">
        <f t="shared" si="1"/>
        <v>672.4402275817281</v>
      </c>
      <c r="I34" s="130">
        <f>SUM(H16:H34)</f>
        <v>13894.494334785086</v>
      </c>
    </row>
    <row r="35" spans="1:9" ht="29.25" thickBot="1">
      <c r="A35" s="48">
        <v>20</v>
      </c>
      <c r="B35" s="62">
        <f t="shared" si="0"/>
        <v>5836676.2213946301</v>
      </c>
      <c r="C35" s="69">
        <f>$F$8*(1+$F$10)^($A$35-1)</f>
        <v>983740.9992445925</v>
      </c>
      <c r="D35" s="69">
        <f>$F$9*(1+$F$10)^($A$35-1)</f>
        <v>40789394.798017077</v>
      </c>
      <c r="E35" s="62"/>
      <c r="F35" s="69">
        <f>$C$4*(1+$F$10)^($A$35-1)</f>
        <v>9179873.7543106079</v>
      </c>
      <c r="G35" s="62">
        <f t="shared" si="2"/>
        <v>56789685.772966906</v>
      </c>
      <c r="H35" s="130">
        <f t="shared" si="1"/>
        <v>681.4762292756028</v>
      </c>
      <c r="I35" s="130">
        <f>SUM(H16:H35)</f>
        <v>14575.970564060688</v>
      </c>
    </row>
    <row r="36" spans="1:9" ht="29.25" thickBot="1">
      <c r="A36" s="48">
        <v>21</v>
      </c>
      <c r="B36" s="62">
        <f t="shared" si="0"/>
        <v>5836676.2213946301</v>
      </c>
      <c r="C36" s="69">
        <f>$F$8*(1+$F$10)^($A$36-1)</f>
        <v>998497.11423326109</v>
      </c>
      <c r="D36" s="69">
        <f>$F$9*(1+$F$10)^($A$36-1)</f>
        <v>41401235.719987318</v>
      </c>
      <c r="E36" s="62"/>
      <c r="F36" s="69">
        <f>$C$4*(1+$F$10)^($A$36-1)</f>
        <v>9317571.8606252652</v>
      </c>
      <c r="G36" s="62">
        <f t="shared" si="2"/>
        <v>57553980.916240476</v>
      </c>
      <c r="H36" s="130">
        <f t="shared" si="1"/>
        <v>690.64777099488572</v>
      </c>
      <c r="I36" s="130">
        <f>SUM(H16:H36)</f>
        <v>15266.618335055573</v>
      </c>
    </row>
    <row r="37" spans="1:9" ht="29.25" thickBot="1">
      <c r="A37" s="48">
        <v>22</v>
      </c>
      <c r="B37" s="62">
        <f t="shared" si="0"/>
        <v>5836676.2213946301</v>
      </c>
      <c r="C37" s="69">
        <f>$F$8*(1+$F$10)^($A$37-1)</f>
        <v>1013474.5709467599</v>
      </c>
      <c r="D37" s="69">
        <f>$F$9*(1+$F$10)^($A$37-1)</f>
        <v>42022254.255787127</v>
      </c>
      <c r="E37" s="62"/>
      <c r="F37" s="69">
        <f>$C$4*(1+$F$10)^($A$37-1)</f>
        <v>9457335.4385346435</v>
      </c>
      <c r="G37" s="62">
        <f t="shared" si="2"/>
        <v>58329740.486663163</v>
      </c>
      <c r="H37" s="130">
        <f t="shared" si="1"/>
        <v>699.95688583995798</v>
      </c>
      <c r="I37" s="130">
        <f>SUM(H16:H37)</f>
        <v>15966.575220895531</v>
      </c>
    </row>
    <row r="38" spans="1:9" ht="29.25" thickBot="1">
      <c r="A38" s="48">
        <v>23</v>
      </c>
      <c r="B38" s="62">
        <f t="shared" si="0"/>
        <v>5836676.2213946301</v>
      </c>
      <c r="C38" s="69">
        <f>$F$8*(1+$F$10)^($A$38-1)</f>
        <v>1028676.6895109611</v>
      </c>
      <c r="D38" s="69">
        <f>$F$9*(1+$F$10)^($A$38-1)</f>
        <v>42652588.069623925</v>
      </c>
      <c r="E38" s="62"/>
      <c r="F38" s="69">
        <f>$C$4*(1+$F$10)^($A$38-1)</f>
        <v>9599195.4701126609</v>
      </c>
      <c r="G38" s="62">
        <f t="shared" si="2"/>
        <v>59117136.450642176</v>
      </c>
      <c r="H38" s="130">
        <f t="shared" si="1"/>
        <v>709.40563740770619</v>
      </c>
      <c r="I38" s="130">
        <f>SUM(H16:H38)</f>
        <v>16675.980858303235</v>
      </c>
    </row>
    <row r="39" spans="1:9" ht="29.25" thickBot="1">
      <c r="A39" s="48">
        <v>24</v>
      </c>
      <c r="B39" s="62">
        <f t="shared" si="0"/>
        <v>5836676.2213946301</v>
      </c>
      <c r="C39" s="69">
        <f>$F$8*(1+$F$10)^($A$39-1)</f>
        <v>1044106.8398536254</v>
      </c>
      <c r="D39" s="69">
        <f>$F$9*(1+$F$10)^($A$39-1)</f>
        <v>43292376.89066828</v>
      </c>
      <c r="E39" s="62"/>
      <c r="F39" s="69">
        <f>$C$4*(1+$F$10)^($A$39-1)</f>
        <v>9743183.4021643493</v>
      </c>
      <c r="G39" s="62">
        <f t="shared" si="2"/>
        <v>59916343.354080886</v>
      </c>
      <c r="H39" s="130">
        <f t="shared" si="1"/>
        <v>718.99612024897067</v>
      </c>
      <c r="I39" s="130">
        <f>SUM(H16:H39)</f>
        <v>17394.976978552208</v>
      </c>
    </row>
    <row r="40" spans="1:9" ht="29.25" thickBot="1">
      <c r="A40" s="48" t="s">
        <v>38</v>
      </c>
      <c r="B40" s="70">
        <f>SUM(B16:B39)</f>
        <v>140080229.31347111</v>
      </c>
      <c r="C40" s="58">
        <f>SUM(C16:C39)</f>
        <v>21227591.496762183</v>
      </c>
      <c r="D40" s="58">
        <f>SUM(D16:D39)</f>
        <v>880171316.26856136</v>
      </c>
      <c r="E40" s="70">
        <f>SUM(E16:E39)</f>
        <v>210014960</v>
      </c>
      <c r="F40" s="58">
        <f>SUM(F16:F39)</f>
        <v>198087311.80055609</v>
      </c>
      <c r="G40" s="62">
        <f>SUM(B40:F40)</f>
        <v>1449581408.8793509</v>
      </c>
      <c r="H40" s="130">
        <f>SUM(H16:H39)</f>
        <v>17394.976978552208</v>
      </c>
      <c r="I40" s="130">
        <f>12*G40/1000000</f>
        <v>17394.976906552212</v>
      </c>
    </row>
    <row r="41" spans="1:9" ht="29.25" thickBot="1">
      <c r="B41" s="70">
        <f>B40*12</f>
        <v>1680962751.7616534</v>
      </c>
      <c r="C41" s="58">
        <f t="shared" ref="C41:I41" si="3">C40*12</f>
        <v>254731097.96114618</v>
      </c>
      <c r="D41" s="58">
        <f t="shared" si="3"/>
        <v>10562055795.222736</v>
      </c>
      <c r="E41" s="70">
        <f t="shared" si="3"/>
        <v>2520179520</v>
      </c>
      <c r="F41" s="58">
        <f t="shared" si="3"/>
        <v>2377047741.6066732</v>
      </c>
      <c r="G41" s="62">
        <f t="shared" si="3"/>
        <v>17394976906.552212</v>
      </c>
      <c r="H41" s="130">
        <f t="shared" si="3"/>
        <v>208739.72374262649</v>
      </c>
      <c r="I41" s="130">
        <f t="shared" si="3"/>
        <v>208739.72287862655</v>
      </c>
    </row>
  </sheetData>
  <mergeCells count="11">
    <mergeCell ref="A6:B6"/>
    <mergeCell ref="A1:H1"/>
    <mergeCell ref="A2:B2"/>
    <mergeCell ref="A3:B3"/>
    <mergeCell ref="A4:B4"/>
    <mergeCell ref="A5:B5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7" workbookViewId="0">
      <selection activeCell="I35" sqref="I35"/>
    </sheetView>
  </sheetViews>
  <sheetFormatPr defaultColWidth="11.42578125" defaultRowHeight="15"/>
  <cols>
    <col min="1" max="1" width="25.42578125" customWidth="1"/>
    <col min="2" max="2" width="20.85546875" customWidth="1"/>
    <col min="3" max="3" width="25.7109375" customWidth="1"/>
    <col min="4" max="4" width="21" customWidth="1"/>
    <col min="5" max="5" width="26.7109375" customWidth="1"/>
  </cols>
  <sheetData>
    <row r="1" spans="1:5" ht="34.5">
      <c r="C1" s="115" t="s">
        <v>160</v>
      </c>
    </row>
    <row r="2" spans="1:5" ht="28.5">
      <c r="C2" s="14" t="s">
        <v>148</v>
      </c>
      <c r="D2" s="14"/>
    </row>
    <row r="3" spans="1:5" ht="15.75" thickBot="1"/>
    <row r="4" spans="1:5" ht="86.25" thickBot="1">
      <c r="A4" s="94" t="s">
        <v>138</v>
      </c>
      <c r="B4" s="94" t="s">
        <v>139</v>
      </c>
      <c r="C4" s="94" t="s">
        <v>140</v>
      </c>
      <c r="D4" s="94" t="s">
        <v>142</v>
      </c>
      <c r="E4" s="94" t="s">
        <v>141</v>
      </c>
    </row>
    <row r="5" spans="1:5" ht="29.25" thickBot="1">
      <c r="A5" s="70">
        <f>'24 Years Cost of  DC '!B40</f>
        <v>140080229.31347111</v>
      </c>
      <c r="B5" s="58">
        <f>'24 Years Cost of  DC '!C40</f>
        <v>21227591.496762183</v>
      </c>
      <c r="C5" s="58">
        <f>'24 Years Cost of  DC '!D40</f>
        <v>880171316.26856136</v>
      </c>
      <c r="D5" s="70">
        <f>'24 Years Cost of  DC '!E40</f>
        <v>210014960</v>
      </c>
      <c r="E5" s="58">
        <f>'24 Years Cost of  DC '!F40</f>
        <v>198087311.80055609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opLeftCell="A28" zoomScale="90" zoomScaleNormal="90" workbookViewId="0">
      <selection activeCell="AE75" sqref="AE75"/>
    </sheetView>
  </sheetViews>
  <sheetFormatPr defaultColWidth="8.85546875" defaultRowHeight="15"/>
  <cols>
    <col min="1" max="1" width="23.7109375" customWidth="1"/>
    <col min="16" max="16" width="10.140625" bestFit="1" customWidth="1"/>
  </cols>
  <sheetData>
    <row r="1" spans="1:23" ht="45">
      <c r="B1" s="132" t="s">
        <v>186</v>
      </c>
    </row>
    <row r="2" spans="1:23">
      <c r="A2" t="s">
        <v>187</v>
      </c>
      <c r="B2">
        <v>3485.2000000000044</v>
      </c>
    </row>
    <row r="3" spans="1:23">
      <c r="A3" t="s">
        <v>188</v>
      </c>
      <c r="B3" s="133">
        <v>3545.4000000000015</v>
      </c>
    </row>
    <row r="4" spans="1:23">
      <c r="A4" t="s">
        <v>189</v>
      </c>
      <c r="B4" s="134">
        <v>4921.0413999999928</v>
      </c>
    </row>
    <row r="5" spans="1:23">
      <c r="A5" t="s">
        <v>190</v>
      </c>
      <c r="B5" s="134">
        <v>10240.339999999995</v>
      </c>
    </row>
    <row r="6" spans="1:23">
      <c r="A6" t="s">
        <v>191</v>
      </c>
      <c r="B6" s="134">
        <v>18687.799999999988</v>
      </c>
    </row>
    <row r="7" spans="1:23">
      <c r="A7" t="s">
        <v>192</v>
      </c>
      <c r="B7" s="133">
        <v>21483.300000000017</v>
      </c>
      <c r="V7" s="129"/>
      <c r="W7" s="129"/>
    </row>
    <row r="8" spans="1:23">
      <c r="A8" t="s">
        <v>193</v>
      </c>
      <c r="B8" s="133">
        <v>23623.399999999998</v>
      </c>
      <c r="V8" s="129"/>
      <c r="W8" s="129"/>
    </row>
    <row r="9" spans="1:23">
      <c r="A9" t="s">
        <v>194</v>
      </c>
      <c r="B9" s="133">
        <v>22711.599999999977</v>
      </c>
    </row>
    <row r="10" spans="1:23">
      <c r="A10" t="s">
        <v>195</v>
      </c>
      <c r="B10" s="133">
        <v>17835.100000000039</v>
      </c>
    </row>
    <row r="11" spans="1:23">
      <c r="A11" t="s">
        <v>196</v>
      </c>
      <c r="B11" s="133">
        <v>13582.899999999965</v>
      </c>
    </row>
    <row r="12" spans="1:23">
      <c r="A12" t="s">
        <v>197</v>
      </c>
      <c r="B12" s="133">
        <v>7323.6000000000349</v>
      </c>
    </row>
    <row r="13" spans="1:23">
      <c r="A13" t="s">
        <v>198</v>
      </c>
      <c r="B13" s="133">
        <v>4141.5</v>
      </c>
    </row>
    <row r="14" spans="1:23">
      <c r="A14" t="s">
        <v>38</v>
      </c>
      <c r="B14" s="135">
        <f>SUM(B2:B13)</f>
        <v>151581.1814</v>
      </c>
    </row>
    <row r="15" spans="1:23">
      <c r="A15" t="s">
        <v>199</v>
      </c>
      <c r="B15">
        <f>B14/833.6</f>
        <v>181.83922912667947</v>
      </c>
    </row>
    <row r="34" spans="1:16">
      <c r="A34" s="129"/>
      <c r="B34" s="129"/>
    </row>
    <row r="35" spans="1:16" ht="15.75" thickBot="1">
      <c r="A35" s="129"/>
      <c r="B35" s="129" t="s">
        <v>187</v>
      </c>
      <c r="C35" t="s">
        <v>188</v>
      </c>
      <c r="D35" t="s">
        <v>189</v>
      </c>
      <c r="E35" s="129" t="s">
        <v>190</v>
      </c>
      <c r="F35" s="129" t="s">
        <v>191</v>
      </c>
      <c r="G35" s="129" t="s">
        <v>192</v>
      </c>
      <c r="H35" s="129" t="s">
        <v>193</v>
      </c>
      <c r="I35" s="129" t="s">
        <v>194</v>
      </c>
      <c r="J35" s="129" t="s">
        <v>195</v>
      </c>
      <c r="K35" s="129" t="s">
        <v>196</v>
      </c>
      <c r="L35" s="129" t="s">
        <v>197</v>
      </c>
      <c r="M35" s="129" t="s">
        <v>198</v>
      </c>
      <c r="N35" s="129" t="s">
        <v>38</v>
      </c>
      <c r="O35" s="129" t="s">
        <v>200</v>
      </c>
      <c r="P35" s="129" t="s">
        <v>201</v>
      </c>
    </row>
    <row r="36" spans="1:16" ht="57.75" thickBot="1">
      <c r="A36" s="128" t="s">
        <v>138</v>
      </c>
      <c r="B36" s="133">
        <v>333.30000000000155</v>
      </c>
      <c r="C36" s="133">
        <v>904.20000000000209</v>
      </c>
      <c r="D36" s="133">
        <v>1929.233600000005</v>
      </c>
      <c r="E36" s="133">
        <v>7339.9700000000066</v>
      </c>
      <c r="F36" s="133">
        <v>15343.900000000001</v>
      </c>
      <c r="G36" s="133">
        <v>18404.19999999999</v>
      </c>
      <c r="H36" s="133">
        <v>21105.800000000017</v>
      </c>
      <c r="I36" s="133">
        <v>20408.099999999988</v>
      </c>
      <c r="J36" s="133">
        <v>15686.399999999998</v>
      </c>
      <c r="K36" s="133">
        <v>11050.700000000012</v>
      </c>
      <c r="L36" s="133">
        <v>4474.7999999999847</v>
      </c>
      <c r="M36" s="133">
        <v>862.80000000000291</v>
      </c>
      <c r="N36" s="133">
        <f>SUM(B36:M36)</f>
        <v>117843.40360000001</v>
      </c>
      <c r="O36" s="136">
        <f>N36/833.6</f>
        <v>141.36684692898274</v>
      </c>
      <c r="P36" s="138">
        <f>'24 Years Cost of  DC '!B40*100/'24 Years Cost of  DC '!G40</f>
        <v>9.6634951618043292</v>
      </c>
    </row>
    <row r="37" spans="1:16" ht="86.25" thickBot="1">
      <c r="A37" s="128" t="s">
        <v>139</v>
      </c>
      <c r="B37" s="133">
        <v>1463.0999999999995</v>
      </c>
      <c r="C37" s="133">
        <v>1159.5000000000002</v>
      </c>
      <c r="D37" s="133">
        <v>1045.0423999999996</v>
      </c>
      <c r="E37" s="133">
        <v>960.73999999999978</v>
      </c>
      <c r="F37" s="133">
        <v>1132.8000000000002</v>
      </c>
      <c r="G37" s="133">
        <v>997.60000000000218</v>
      </c>
      <c r="H37" s="133">
        <v>978.59999999999673</v>
      </c>
      <c r="I37" s="133">
        <v>940.20000000000209</v>
      </c>
      <c r="J37" s="133">
        <v>918.60000000000127</v>
      </c>
      <c r="K37" s="133">
        <v>1032.400000000001</v>
      </c>
      <c r="L37" s="133">
        <v>1038.5</v>
      </c>
      <c r="M37" s="133">
        <v>1083.8999999999996</v>
      </c>
      <c r="N37" s="133">
        <f>SUM(B37:M37)</f>
        <v>12750.982400000003</v>
      </c>
      <c r="O37" s="136">
        <f>N37/833.6</f>
        <v>15.296284069097892</v>
      </c>
      <c r="P37" s="138">
        <f>'24 Years Cost of  DC '!C40*100/'24 Years Cost of  DC '!G40</f>
        <v>1.4643945739600033</v>
      </c>
    </row>
    <row r="38" spans="1:16" ht="57.75" thickBot="1">
      <c r="A38" s="128" t="s">
        <v>140</v>
      </c>
      <c r="B38">
        <v>1358.1999999999998</v>
      </c>
      <c r="C38" s="133">
        <v>1302.2999999999993</v>
      </c>
      <c r="D38" s="133">
        <v>1707.2049999999999</v>
      </c>
      <c r="E38" s="133">
        <v>1491.9299999999994</v>
      </c>
      <c r="F38" s="133">
        <v>1356.4000000000015</v>
      </c>
      <c r="G38" s="133">
        <v>1125.7999999999993</v>
      </c>
      <c r="H38" s="133">
        <v>282.29999999999927</v>
      </c>
      <c r="I38" s="133">
        <v>73.5</v>
      </c>
      <c r="J38" s="133">
        <v>70.900000000001455</v>
      </c>
      <c r="K38" s="133">
        <v>1269.5</v>
      </c>
      <c r="L38" s="133">
        <v>1582.5999999999985</v>
      </c>
      <c r="M38" s="133">
        <v>2023.2000000000044</v>
      </c>
      <c r="N38" s="133">
        <f>SUM(B38:M38)</f>
        <v>13643.835000000003</v>
      </c>
      <c r="O38" s="136">
        <f>N38/833.6</f>
        <v>16.367364443378122</v>
      </c>
      <c r="P38" s="138">
        <f>'24 Years Cost of  DC '!D40*100/'24 Years Cost of  DC '!G40</f>
        <v>60.718998662448925</v>
      </c>
    </row>
    <row r="39" spans="1:16" ht="57.75" thickBot="1">
      <c r="A39" s="128" t="s">
        <v>142</v>
      </c>
      <c r="B39" s="133">
        <v>330.60000000000355</v>
      </c>
      <c r="C39" s="133">
        <v>179.39999999999964</v>
      </c>
      <c r="D39" s="133">
        <v>239.56039999998839</v>
      </c>
      <c r="E39" s="133">
        <v>447.69999999998805</v>
      </c>
      <c r="F39" s="133">
        <v>854.69999999998618</v>
      </c>
      <c r="G39" s="133">
        <v>955.70000000002619</v>
      </c>
      <c r="H39" s="133">
        <v>1256.6999999999825</v>
      </c>
      <c r="I39" s="133">
        <v>1289.7999999999884</v>
      </c>
      <c r="J39" s="133">
        <v>1159.2000000000371</v>
      </c>
      <c r="K39" s="133">
        <v>230.29999999995198</v>
      </c>
      <c r="L39" s="133">
        <v>227.70000000005166</v>
      </c>
      <c r="M39" s="133">
        <v>171.59999999999309</v>
      </c>
      <c r="N39" s="133">
        <f>SUM(B39:M39)</f>
        <v>7342.9603999999963</v>
      </c>
      <c r="O39" s="136">
        <f>N39/833.6</f>
        <v>8.8087336852207248</v>
      </c>
      <c r="P39" s="138">
        <f>'24 Years Cost of  DC '!E40*100/'24 Years Cost of  DC '!G40</f>
        <v>14.487972783974881</v>
      </c>
    </row>
    <row r="40" spans="1:16" ht="57.75" thickBot="1">
      <c r="A40" s="128" t="s">
        <v>141</v>
      </c>
      <c r="B40" s="134">
        <f>SUM(B36:B39)</f>
        <v>3485.2000000000044</v>
      </c>
      <c r="C40" s="134">
        <f t="shared" ref="C40:M40" si="0">SUM(C36:C39)</f>
        <v>3545.4000000000015</v>
      </c>
      <c r="D40" s="134">
        <f t="shared" si="0"/>
        <v>4921.0413999999928</v>
      </c>
      <c r="E40" s="134">
        <f t="shared" si="0"/>
        <v>10240.339999999995</v>
      </c>
      <c r="F40" s="134">
        <f t="shared" si="0"/>
        <v>18687.799999999988</v>
      </c>
      <c r="G40" s="134">
        <f t="shared" si="0"/>
        <v>21483.300000000017</v>
      </c>
      <c r="H40" s="134">
        <f t="shared" si="0"/>
        <v>23623.399999999998</v>
      </c>
      <c r="I40" s="134">
        <f t="shared" si="0"/>
        <v>22711.599999999977</v>
      </c>
      <c r="J40" s="134">
        <f t="shared" si="0"/>
        <v>17835.100000000039</v>
      </c>
      <c r="K40" s="134">
        <f t="shared" si="0"/>
        <v>13582.899999999965</v>
      </c>
      <c r="L40" s="134">
        <f t="shared" si="0"/>
        <v>7323.6000000000349</v>
      </c>
      <c r="M40" s="134">
        <f t="shared" si="0"/>
        <v>4141.5</v>
      </c>
      <c r="N40" s="133">
        <f>SUM(B40:M40)</f>
        <v>151581.1814</v>
      </c>
      <c r="O40" s="136">
        <f>N40/833.6</f>
        <v>181.83922912667947</v>
      </c>
      <c r="P40" s="138">
        <f>'24 Years Cost of  DC '!F40*100/'24 Years Cost of  DC '!G40</f>
        <v>13.665138817811851</v>
      </c>
    </row>
    <row r="41" spans="1:16" ht="15.75">
      <c r="A41" s="129" t="s">
        <v>200</v>
      </c>
      <c r="B41" s="137">
        <f>B40/833.6</f>
        <v>4.1809021113243814</v>
      </c>
      <c r="C41" s="137">
        <f t="shared" ref="C41:N41" si="1">C40/833.6</f>
        <v>4.2531190019193872</v>
      </c>
      <c r="D41" s="137">
        <f t="shared" si="1"/>
        <v>5.903360604606517</v>
      </c>
      <c r="E41" s="137">
        <f t="shared" si="1"/>
        <v>12.284476967370434</v>
      </c>
      <c r="F41" s="137">
        <f t="shared" si="1"/>
        <v>22.41818618042225</v>
      </c>
      <c r="G41" s="137">
        <f t="shared" si="1"/>
        <v>25.771713051823436</v>
      </c>
      <c r="H41" s="137">
        <f t="shared" si="1"/>
        <v>28.339011516314777</v>
      </c>
      <c r="I41" s="137">
        <f t="shared" si="1"/>
        <v>27.24520153550861</v>
      </c>
      <c r="J41" s="137">
        <f t="shared" si="1"/>
        <v>21.395273512476052</v>
      </c>
      <c r="K41" s="137">
        <f t="shared" si="1"/>
        <v>16.29426583493278</v>
      </c>
      <c r="L41" s="137">
        <f t="shared" si="1"/>
        <v>8.7855086372361253</v>
      </c>
      <c r="M41" s="137">
        <f t="shared" si="1"/>
        <v>4.9682101727447217</v>
      </c>
      <c r="N41" s="137">
        <f t="shared" si="1"/>
        <v>181.83922912667947</v>
      </c>
    </row>
    <row r="42" spans="1:16">
      <c r="A42" s="129"/>
    </row>
    <row r="43" spans="1:16">
      <c r="A43" s="129"/>
      <c r="B43" s="129"/>
      <c r="C43" s="129"/>
    </row>
    <row r="44" spans="1:16">
      <c r="A44" s="129"/>
      <c r="B44" s="129"/>
      <c r="C44" s="129"/>
    </row>
    <row r="45" spans="1:16">
      <c r="A45" s="129"/>
      <c r="B45" s="129"/>
      <c r="C45" s="129"/>
    </row>
    <row r="46" spans="1:16">
      <c r="A46" s="129"/>
      <c r="B46" s="129"/>
      <c r="C46" s="129"/>
    </row>
    <row r="47" spans="1:16">
      <c r="A47" s="129"/>
      <c r="B47" s="129"/>
      <c r="C47" s="129"/>
    </row>
    <row r="48" spans="1:16">
      <c r="A48" s="129"/>
      <c r="B48" s="129"/>
      <c r="C48" s="129"/>
    </row>
    <row r="49" spans="1:3">
      <c r="A49" s="129"/>
      <c r="B49" s="129"/>
      <c r="C49" s="129"/>
    </row>
    <row r="50" spans="1:3">
      <c r="A50" s="129"/>
      <c r="B50" s="129"/>
      <c r="C50" s="129"/>
    </row>
    <row r="51" spans="1:3">
      <c r="A51" s="129"/>
      <c r="B51" s="129"/>
      <c r="C51" s="129"/>
    </row>
    <row r="52" spans="1:3">
      <c r="A52" s="129"/>
      <c r="B52" s="129"/>
      <c r="C52" s="129"/>
    </row>
    <row r="53" spans="1:3">
      <c r="A53" s="129"/>
      <c r="B53" s="129"/>
      <c r="C53" s="129"/>
    </row>
    <row r="54" spans="1:3">
      <c r="A54" s="129"/>
      <c r="B54" s="129"/>
      <c r="C54" s="129"/>
    </row>
    <row r="55" spans="1:3">
      <c r="A55" s="129"/>
      <c r="B55" s="129"/>
      <c r="C55" s="129"/>
    </row>
    <row r="56" spans="1:3">
      <c r="A56" s="129"/>
      <c r="B56" s="129"/>
      <c r="C56" s="129"/>
    </row>
    <row r="57" spans="1:3">
      <c r="A57" s="129"/>
      <c r="B57" s="129"/>
      <c r="C57" s="129"/>
    </row>
    <row r="58" spans="1:3">
      <c r="A58" s="129"/>
      <c r="B58" s="129"/>
      <c r="C58" s="129"/>
    </row>
    <row r="59" spans="1:3">
      <c r="A59" s="129"/>
      <c r="B59" s="129"/>
      <c r="C59" s="129"/>
    </row>
    <row r="60" spans="1:3">
      <c r="A60" s="129"/>
      <c r="B60" s="129"/>
      <c r="C60" s="129"/>
    </row>
    <row r="61" spans="1:3">
      <c r="A61" s="129"/>
      <c r="B61" s="129"/>
      <c r="C61" s="129"/>
    </row>
    <row r="62" spans="1:3">
      <c r="A62" s="129"/>
      <c r="B62" s="129"/>
      <c r="C62" s="129"/>
    </row>
    <row r="63" spans="1:3">
      <c r="A63" s="129"/>
      <c r="B63" s="129"/>
      <c r="C63" s="129"/>
    </row>
    <row r="64" spans="1:3">
      <c r="A64" s="129"/>
      <c r="B64" s="129"/>
      <c r="C64" s="129"/>
    </row>
    <row r="65" spans="1:3">
      <c r="A65" s="129"/>
      <c r="B65" s="129"/>
      <c r="C65" s="129"/>
    </row>
    <row r="66" spans="1:3">
      <c r="A66" s="129"/>
      <c r="B66" s="129"/>
      <c r="C66" s="129"/>
    </row>
    <row r="67" spans="1:3">
      <c r="A67" s="129"/>
      <c r="B67" s="129"/>
      <c r="C67" s="129"/>
    </row>
    <row r="68" spans="1:3">
      <c r="A68" s="129"/>
      <c r="B68" s="129"/>
      <c r="C68" s="129"/>
    </row>
    <row r="69" spans="1:3">
      <c r="A69" s="129"/>
      <c r="B69" s="129"/>
      <c r="C69" s="129"/>
    </row>
    <row r="70" spans="1:3">
      <c r="A70" s="129"/>
      <c r="B70" s="129"/>
      <c r="C70" s="129"/>
    </row>
    <row r="71" spans="1:3">
      <c r="A71" s="129"/>
      <c r="B71" s="129"/>
      <c r="C71" s="129"/>
    </row>
    <row r="72" spans="1:3">
      <c r="A72" s="129"/>
      <c r="B72" s="129"/>
      <c r="C72" s="129"/>
    </row>
    <row r="73" spans="1:3">
      <c r="A73" s="129"/>
      <c r="B73" s="129"/>
      <c r="C73" s="129"/>
    </row>
    <row r="74" spans="1:3">
      <c r="A74" s="129"/>
      <c r="B74" s="129"/>
      <c r="C74" s="129"/>
    </row>
    <row r="75" spans="1:3">
      <c r="A75" s="129"/>
      <c r="B75" s="129"/>
      <c r="C75" s="129"/>
    </row>
    <row r="76" spans="1:3">
      <c r="A76" s="129"/>
      <c r="B76" s="129"/>
      <c r="C76" s="129"/>
    </row>
    <row r="77" spans="1:3">
      <c r="A77" s="129"/>
    </row>
    <row r="78" spans="1:3">
      <c r="A78" s="12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1" zoomScale="106" workbookViewId="0">
      <selection activeCell="B41" sqref="B41:I41"/>
    </sheetView>
  </sheetViews>
  <sheetFormatPr defaultColWidth="11.42578125" defaultRowHeight="15"/>
  <cols>
    <col min="2" max="2" width="28" customWidth="1"/>
    <col min="3" max="3" width="27.140625" customWidth="1"/>
    <col min="4" max="4" width="30.42578125" bestFit="1" customWidth="1"/>
    <col min="5" max="5" width="28" customWidth="1"/>
    <col min="6" max="6" width="26.28515625" customWidth="1"/>
    <col min="7" max="7" width="51.42578125" bestFit="1" customWidth="1"/>
    <col min="8" max="8" width="26.85546875" customWidth="1"/>
    <col min="9" max="9" width="25.42578125" customWidth="1"/>
  </cols>
  <sheetData>
    <row r="1" spans="1:9" ht="51" customHeight="1" thickBot="1">
      <c r="A1" s="158" t="s">
        <v>166</v>
      </c>
      <c r="B1" s="163"/>
      <c r="C1" s="163"/>
      <c r="D1" s="163"/>
      <c r="E1" s="163"/>
      <c r="F1" s="163"/>
      <c r="G1" s="163"/>
      <c r="H1" s="11"/>
    </row>
    <row r="2" spans="1:9" ht="54.95" customHeight="1" thickBot="1">
      <c r="A2" s="146"/>
      <c r="B2" s="147"/>
      <c r="C2" s="51"/>
      <c r="D2" s="95"/>
      <c r="E2" s="52"/>
      <c r="F2" s="51"/>
      <c r="G2" s="94" t="s">
        <v>167</v>
      </c>
      <c r="H2" s="94" t="s">
        <v>168</v>
      </c>
      <c r="I2" s="94"/>
    </row>
    <row r="3" spans="1:9" ht="54" customHeight="1" thickBot="1">
      <c r="A3" s="148" t="s">
        <v>40</v>
      </c>
      <c r="B3" s="149"/>
      <c r="C3" s="47">
        <v>144.80000000000001</v>
      </c>
      <c r="D3" s="48"/>
      <c r="E3" s="53" t="s">
        <v>78</v>
      </c>
      <c r="F3" s="47">
        <v>309255</v>
      </c>
      <c r="G3" s="11"/>
      <c r="H3" s="11"/>
    </row>
    <row r="4" spans="1:9" ht="57.95" customHeight="1" thickBot="1">
      <c r="A4" s="164" t="s">
        <v>109</v>
      </c>
      <c r="B4" s="149"/>
      <c r="C4" s="57">
        <f>'VRF Capital &amp; Running Cost '!C17</f>
        <v>3680000</v>
      </c>
      <c r="D4" s="48"/>
      <c r="E4" s="86" t="s">
        <v>110</v>
      </c>
      <c r="F4" s="58"/>
      <c r="G4" s="58">
        <f>'VRF Capital &amp; Running Cost '!D10</f>
        <v>124200000</v>
      </c>
      <c r="H4" s="58">
        <f>'VRF Capital &amp; Running Cost '!E10</f>
        <v>148449776.89552245</v>
      </c>
      <c r="I4" s="58"/>
    </row>
    <row r="5" spans="1:9" ht="47.25" thickBot="1">
      <c r="A5" s="164" t="s">
        <v>76</v>
      </c>
      <c r="B5" s="149"/>
      <c r="C5" s="89">
        <v>1335774</v>
      </c>
      <c r="D5" s="48"/>
      <c r="E5" s="7" t="s">
        <v>77</v>
      </c>
      <c r="F5" s="61">
        <f>$C$3*$C$5</f>
        <v>193420075.20000002</v>
      </c>
      <c r="G5" s="11"/>
      <c r="H5" s="11"/>
    </row>
    <row r="6" spans="1:9" ht="57.95" customHeight="1" thickBot="1">
      <c r="A6" s="165" t="s">
        <v>112</v>
      </c>
      <c r="B6" s="149"/>
      <c r="C6" s="61">
        <v>4</v>
      </c>
      <c r="D6" s="47"/>
      <c r="E6" s="63" t="s">
        <v>86</v>
      </c>
      <c r="F6" s="61">
        <f>$C$6*$F$3</f>
        <v>1237020</v>
      </c>
      <c r="G6" s="11"/>
      <c r="H6" s="11"/>
    </row>
    <row r="7" spans="1:9" ht="57" customHeight="1" thickBot="1">
      <c r="A7" s="165" t="s">
        <v>80</v>
      </c>
      <c r="B7" s="149"/>
      <c r="C7" s="72">
        <v>17.358000000000001</v>
      </c>
      <c r="D7" s="47"/>
      <c r="E7" s="63" t="s">
        <v>85</v>
      </c>
      <c r="F7" s="61">
        <f>$C$7*$F$3</f>
        <v>5368048.29</v>
      </c>
      <c r="G7" s="11"/>
      <c r="H7" s="11"/>
    </row>
    <row r="8" spans="1:9" ht="63.95" customHeight="1" thickBot="1">
      <c r="A8" s="165" t="s">
        <v>81</v>
      </c>
      <c r="B8" s="149"/>
      <c r="C8" s="64">
        <v>7.4999999999999997E-3</v>
      </c>
      <c r="D8" s="54"/>
      <c r="E8" s="65" t="s">
        <v>84</v>
      </c>
      <c r="F8" s="66">
        <f>$C$8*$F$5</f>
        <v>1450650.564</v>
      </c>
      <c r="G8" s="11"/>
      <c r="H8" s="11"/>
    </row>
    <row r="9" spans="1:9" ht="62.1" customHeight="1" thickBot="1">
      <c r="A9" s="154" t="s">
        <v>82</v>
      </c>
      <c r="B9" s="162"/>
      <c r="C9" s="67">
        <v>117.68</v>
      </c>
      <c r="D9" s="54"/>
      <c r="E9" s="65" t="s">
        <v>83</v>
      </c>
      <c r="F9" s="66">
        <f>$C$9*$F$3</f>
        <v>36393128.399999999</v>
      </c>
      <c r="G9" s="11"/>
      <c r="H9" s="11"/>
    </row>
    <row r="10" spans="1:9" ht="57.75" thickBot="1">
      <c r="A10" s="156" t="s">
        <v>94</v>
      </c>
      <c r="B10" s="162"/>
      <c r="C10" s="53">
        <v>0.03</v>
      </c>
      <c r="D10" s="53"/>
      <c r="E10" s="53" t="s">
        <v>89</v>
      </c>
      <c r="F10" s="53">
        <v>1.4999999999999999E-2</v>
      </c>
      <c r="G10" s="94">
        <v>0.03</v>
      </c>
      <c r="H10" s="94">
        <v>0.04</v>
      </c>
      <c r="I10" s="54"/>
    </row>
    <row r="11" spans="1:9" ht="68.099999999999994" customHeight="1" thickBot="1">
      <c r="A11" s="156" t="s">
        <v>88</v>
      </c>
      <c r="B11" s="162"/>
      <c r="C11" s="66">
        <f>$F$5*($C$10*(1+$C$10)^24)/((1+$C$10)^24-1)</f>
        <v>11420955.63321544</v>
      </c>
      <c r="D11" s="53"/>
      <c r="E11" s="53" t="s">
        <v>92</v>
      </c>
      <c r="F11" s="66"/>
      <c r="G11" s="66">
        <f>$G$4*($G$10*(1+$G$10)^12)/((1+$G$10)^12-1)</f>
        <v>12477391.015742015</v>
      </c>
      <c r="H11" s="66">
        <f>$H$4*($H$10*(1+$H$10)^12)/((1+$H$10)^12-1)</f>
        <v>15817646.262978265</v>
      </c>
      <c r="I11" s="66"/>
    </row>
    <row r="12" spans="1:9" ht="28.5">
      <c r="A12" s="56"/>
      <c r="B12" s="56"/>
      <c r="C12" s="56"/>
      <c r="D12" s="56"/>
      <c r="E12" s="56"/>
      <c r="F12" s="56"/>
      <c r="G12" s="11"/>
      <c r="H12" s="11"/>
    </row>
    <row r="13" spans="1:9" ht="28.5">
      <c r="A13" s="56"/>
      <c r="B13" s="56"/>
      <c r="C13" s="56"/>
      <c r="D13" s="56"/>
      <c r="E13" s="56"/>
      <c r="F13" s="56"/>
      <c r="G13" s="11"/>
      <c r="H13" s="11"/>
    </row>
    <row r="14" spans="1:9" ht="29.25" thickBot="1">
      <c r="A14" s="56"/>
      <c r="B14" s="56"/>
      <c r="C14" s="68"/>
      <c r="D14" s="56"/>
      <c r="E14" s="56"/>
      <c r="F14" s="56"/>
      <c r="G14" s="11"/>
      <c r="H14" s="11"/>
    </row>
    <row r="15" spans="1:9" ht="114.75" thickBot="1">
      <c r="A15" s="47" t="s">
        <v>64</v>
      </c>
      <c r="B15" s="53" t="s">
        <v>66</v>
      </c>
      <c r="C15" s="71" t="s">
        <v>74</v>
      </c>
      <c r="D15" s="71" t="s">
        <v>67</v>
      </c>
      <c r="E15" s="71" t="s">
        <v>91</v>
      </c>
      <c r="F15" s="85" t="s">
        <v>111</v>
      </c>
      <c r="G15" s="85" t="s">
        <v>90</v>
      </c>
      <c r="H15" s="124" t="s">
        <v>184</v>
      </c>
      <c r="I15" s="124" t="s">
        <v>185</v>
      </c>
    </row>
    <row r="16" spans="1:9" ht="29.25" thickBot="1">
      <c r="A16" s="48">
        <v>1</v>
      </c>
      <c r="B16" s="62">
        <f>$C$11</f>
        <v>11420955.63321544</v>
      </c>
      <c r="C16" s="69">
        <f>$F$8*(1+$F$10)^($A$16-1)</f>
        <v>1450650.564</v>
      </c>
      <c r="D16" s="69">
        <f>$F$9*(1+$F$10)^($A$16-1)</f>
        <v>36393128.399999999</v>
      </c>
      <c r="E16" s="66">
        <f>G4</f>
        <v>124200000</v>
      </c>
      <c r="F16" s="62">
        <f>$C$4*(1+$F$10)^($A$16-1)</f>
        <v>3680000</v>
      </c>
      <c r="G16" s="62">
        <f>SUM(A16:F16)</f>
        <v>177144735.59721544</v>
      </c>
      <c r="H16" s="131">
        <f>12*G16/1000000</f>
        <v>2125.7368271665855</v>
      </c>
      <c r="I16" s="131">
        <f>H16</f>
        <v>2125.7368271665855</v>
      </c>
    </row>
    <row r="17" spans="1:9" ht="29.25" thickBot="1">
      <c r="A17" s="48">
        <v>2</v>
      </c>
      <c r="B17" s="62">
        <f t="shared" ref="B17:B39" si="0">$C$11</f>
        <v>11420955.63321544</v>
      </c>
      <c r="C17" s="69">
        <f>$F$8*(1+$F$10)^($A$17-1)</f>
        <v>1472410.3224599999</v>
      </c>
      <c r="D17" s="69">
        <f>$F$9*(1+$F$10)^($A$17-1)</f>
        <v>36939025.325999998</v>
      </c>
      <c r="E17" s="66"/>
      <c r="F17" s="62">
        <f>$C$4*(1+$F$10)^($A$17-1)</f>
        <v>3735199.9999999995</v>
      </c>
      <c r="G17" s="62">
        <f>SUM(A17:F17)</f>
        <v>53567593.281675436</v>
      </c>
      <c r="H17" s="131">
        <f t="shared" ref="H17:H39" si="1">12*G17/1000000</f>
        <v>642.81111938010531</v>
      </c>
      <c r="I17" s="131">
        <f>SUM(H16:H17)</f>
        <v>2768.5479465466906</v>
      </c>
    </row>
    <row r="18" spans="1:9" ht="29.25" thickBot="1">
      <c r="A18" s="48">
        <v>3</v>
      </c>
      <c r="B18" s="62">
        <f t="shared" si="0"/>
        <v>11420955.63321544</v>
      </c>
      <c r="C18" s="69">
        <f>$F$8*(1+$F$10)^($A$18-1)</f>
        <v>1494496.4772968995</v>
      </c>
      <c r="D18" s="69">
        <f>$F$9*(1+$F$10)^($A$18-1)</f>
        <v>37493110.705889985</v>
      </c>
      <c r="E18" s="66"/>
      <c r="F18" s="62">
        <f>$C$4*(1+$F$10)^($A$18-1)</f>
        <v>3791227.9999999991</v>
      </c>
      <c r="G18" s="62">
        <f>SUM(B18:F18)</f>
        <v>54199790.816402324</v>
      </c>
      <c r="H18" s="131">
        <f t="shared" si="1"/>
        <v>650.39748979682793</v>
      </c>
      <c r="I18" s="131">
        <f>SUM(H16:H18)</f>
        <v>3418.9454363435184</v>
      </c>
    </row>
    <row r="19" spans="1:9" ht="29.25" thickBot="1">
      <c r="A19" s="48">
        <v>4</v>
      </c>
      <c r="B19" s="62">
        <f t="shared" si="0"/>
        <v>11420955.63321544</v>
      </c>
      <c r="C19" s="69">
        <f>$F$8*(1+$F$10)^($A$19-1)</f>
        <v>1516913.9244563528</v>
      </c>
      <c r="D19" s="69">
        <f>$F$9*(1+$F$10)^($A$19-1)</f>
        <v>38055507.366478331</v>
      </c>
      <c r="E19" s="66"/>
      <c r="F19" s="62">
        <f>$C$4*(1+$F$10)^($A$19-1)</f>
        <v>3848096.4199999985</v>
      </c>
      <c r="G19" s="62">
        <f>SUM(A19:F19)</f>
        <v>54841477.344150126</v>
      </c>
      <c r="H19" s="131">
        <f t="shared" si="1"/>
        <v>658.09772812980157</v>
      </c>
      <c r="I19" s="131">
        <f>SUM(H16:H19)</f>
        <v>4077.0431644733198</v>
      </c>
    </row>
    <row r="20" spans="1:9" ht="29.25" thickBot="1">
      <c r="A20" s="48">
        <v>5</v>
      </c>
      <c r="B20" s="62">
        <f t="shared" si="0"/>
        <v>11420955.63321544</v>
      </c>
      <c r="C20" s="69">
        <f>$F$8*(1+$F$10)^($A$20-1)</f>
        <v>1539667.633323198</v>
      </c>
      <c r="D20" s="69">
        <f>$F$9*(1+$F$10)^($A$20-1)</f>
        <v>38626339.976975501</v>
      </c>
      <c r="E20" s="66"/>
      <c r="F20" s="62">
        <f>$C$4*(1+$F$10)^($A$20-1)</f>
        <v>3905817.866299998</v>
      </c>
      <c r="G20" s="62">
        <f>SUM(A20:F20)</f>
        <v>55492786.109814137</v>
      </c>
      <c r="H20" s="131">
        <f t="shared" si="1"/>
        <v>665.91343331776966</v>
      </c>
      <c r="I20" s="131">
        <f>SUM(H16:H20)</f>
        <v>4742.9565977910897</v>
      </c>
    </row>
    <row r="21" spans="1:9" ht="29.25" thickBot="1">
      <c r="A21" s="48">
        <v>6</v>
      </c>
      <c r="B21" s="62">
        <f t="shared" si="0"/>
        <v>11420955.63321544</v>
      </c>
      <c r="C21" s="69">
        <f>$F$8*(1+$F$10)^($A$21-1)</f>
        <v>1562762.6478230457</v>
      </c>
      <c r="D21" s="69">
        <f>$F$9*(1+$F$10)^($A$21-1)</f>
        <v>39205735.07663013</v>
      </c>
      <c r="E21" s="66"/>
      <c r="F21" s="62">
        <f>$C$4*(1+$F$10)^($A$21-1)</f>
        <v>3964405.1342944973</v>
      </c>
      <c r="G21" s="62">
        <f>SUM(A21:F21)</f>
        <v>56153864.491963111</v>
      </c>
      <c r="H21" s="131">
        <f t="shared" si="1"/>
        <v>673.84637390355726</v>
      </c>
      <c r="I21" s="131">
        <f>SUM(H16:H21)</f>
        <v>5416.8029716946467</v>
      </c>
    </row>
    <row r="22" spans="1:9" ht="29.25" thickBot="1">
      <c r="A22" s="48">
        <v>7</v>
      </c>
      <c r="B22" s="62">
        <f t="shared" si="0"/>
        <v>11420955.63321544</v>
      </c>
      <c r="C22" s="69">
        <f>$F$8*(1+$F$10)^($A$22-1)</f>
        <v>1586204.0875403911</v>
      </c>
      <c r="D22" s="69">
        <f>$F$9*(1+$F$10)^($A$22-1)</f>
        <v>39793821.102779575</v>
      </c>
      <c r="E22" s="66"/>
      <c r="F22" s="62">
        <f>$C$4*(1+$F$10)^($A$22-1)</f>
        <v>4023871.2113089142</v>
      </c>
      <c r="G22" s="62">
        <f>SUM(A22:F22)</f>
        <v>56824859.034844317</v>
      </c>
      <c r="H22" s="131">
        <f t="shared" si="1"/>
        <v>681.89830841813182</v>
      </c>
      <c r="I22" s="131">
        <f>SUM(H16:H22)</f>
        <v>6098.7012801127785</v>
      </c>
    </row>
    <row r="23" spans="1:9" ht="29.25" thickBot="1">
      <c r="A23" s="48">
        <v>8</v>
      </c>
      <c r="B23" s="62">
        <f t="shared" si="0"/>
        <v>11420955.63321544</v>
      </c>
      <c r="C23" s="69">
        <f>$F$8*(1+$F$10)^($A$23-1)</f>
        <v>1609997.1488534966</v>
      </c>
      <c r="D23" s="69">
        <f>$F$9*(1+$F$10)^($A$23-1)</f>
        <v>40390728.419321261</v>
      </c>
      <c r="E23" s="66"/>
      <c r="F23" s="62">
        <f>$C$4*(1+$F$10)^($A$23-1)</f>
        <v>4084229.2794785472</v>
      </c>
      <c r="G23" s="62">
        <f>SUM(A23:F23)</f>
        <v>57505918.480868749</v>
      </c>
      <c r="H23" s="131">
        <f t="shared" si="1"/>
        <v>690.07102177042498</v>
      </c>
      <c r="I23" s="131">
        <f>SUM(H16:H23)</f>
        <v>6788.7723018832039</v>
      </c>
    </row>
    <row r="24" spans="1:9" ht="29.25" thickBot="1">
      <c r="A24" s="48">
        <v>9</v>
      </c>
      <c r="B24" s="62">
        <f t="shared" si="0"/>
        <v>11420955.63321544</v>
      </c>
      <c r="C24" s="69">
        <f>$F$8*(1+$F$10)^($A$24-1)</f>
        <v>1634147.1060862991</v>
      </c>
      <c r="D24" s="69">
        <f>$F$9*(1+$F$10)^($A$24-1)</f>
        <v>40996589.345611081</v>
      </c>
      <c r="E24" s="66"/>
      <c r="F24" s="62">
        <f>$C$4*(1+$F$10)^($A$24-1)</f>
        <v>4145492.7186707249</v>
      </c>
      <c r="G24" s="62">
        <f>SUM(B24:F24)</f>
        <v>58197184.803583547</v>
      </c>
      <c r="H24" s="131">
        <f t="shared" si="1"/>
        <v>698.36621764300253</v>
      </c>
      <c r="I24" s="131">
        <f>SUM(H16:H24)</f>
        <v>7487.1385195262064</v>
      </c>
    </row>
    <row r="25" spans="1:9" ht="29.25" thickBot="1">
      <c r="A25" s="48">
        <v>10</v>
      </c>
      <c r="B25" s="62">
        <f t="shared" si="0"/>
        <v>11420955.63321544</v>
      </c>
      <c r="C25" s="69">
        <f>$F$8*(1+$F$10)^($A$25-1)</f>
        <v>1658659.3126775934</v>
      </c>
      <c r="D25" s="69">
        <f>$F$9*(1+$F$10)^($A$25-1)</f>
        <v>41611538.18579524</v>
      </c>
      <c r="E25" s="66"/>
      <c r="F25" s="62">
        <f>$C$4*(1+$F$10)^($A$25-1)</f>
        <v>4207675.1094507854</v>
      </c>
      <c r="G25" s="62">
        <f>SUM(B25:F25)</f>
        <v>58898828.241139062</v>
      </c>
      <c r="H25" s="131">
        <f t="shared" si="1"/>
        <v>706.7859388936688</v>
      </c>
      <c r="I25" s="131">
        <f>SUM(H16:H25)</f>
        <v>8193.924458419875</v>
      </c>
    </row>
    <row r="26" spans="1:9" ht="29.25" thickBot="1">
      <c r="A26" s="48">
        <v>11</v>
      </c>
      <c r="B26" s="62">
        <f t="shared" si="0"/>
        <v>11420955.63321544</v>
      </c>
      <c r="C26" s="69">
        <f>$F$8*(1+$F$10)^($A$26-1)</f>
        <v>1683539.202367757</v>
      </c>
      <c r="D26" s="69">
        <f>$F$9*(1+$F$10)^($A$26-1)</f>
        <v>42235711.25858216</v>
      </c>
      <c r="E26" s="66"/>
      <c r="F26" s="62">
        <f>$C$4*(1+$F$10)^($A$26-1)</f>
        <v>4270790.236092547</v>
      </c>
      <c r="G26" s="62">
        <f>SUM(B26:F26)</f>
        <v>59610996.3302579</v>
      </c>
      <c r="H26" s="131">
        <f t="shared" si="1"/>
        <v>715.33195596309486</v>
      </c>
      <c r="I26" s="131">
        <f>SUM(H16:H26)</f>
        <v>8909.2564143829695</v>
      </c>
    </row>
    <row r="27" spans="1:9" ht="29.25" thickBot="1">
      <c r="A27" s="48">
        <v>12</v>
      </c>
      <c r="B27" s="62">
        <f t="shared" si="0"/>
        <v>11420955.63321544</v>
      </c>
      <c r="C27" s="69">
        <f>$F$8*(1+$F$10)^($A$27-1)</f>
        <v>1708792.2904032732</v>
      </c>
      <c r="D27" s="69">
        <f>$F$9*(1+$F$10)^($A$27-1)</f>
        <v>42869246.927460887</v>
      </c>
      <c r="E27" s="66"/>
      <c r="F27" s="62">
        <f>$C$4*(1+$F$10)^($A$27-1)</f>
        <v>4334852.0896339342</v>
      </c>
      <c r="G27" s="62">
        <f>SUM(A27:F27)</f>
        <v>60333858.940713532</v>
      </c>
      <c r="H27" s="131">
        <f t="shared" si="1"/>
        <v>724.00630728856243</v>
      </c>
      <c r="I27" s="131">
        <f>SUM(H16:H27)</f>
        <v>9633.2627216715318</v>
      </c>
    </row>
    <row r="28" spans="1:9" ht="29.25" thickBot="1">
      <c r="A28" s="48">
        <v>13</v>
      </c>
      <c r="B28" s="62">
        <f t="shared" si="0"/>
        <v>11420955.63321544</v>
      </c>
      <c r="C28" s="69">
        <f>$F$8*(1+$F$10)^($A$28-1)</f>
        <v>1734424.1747593218</v>
      </c>
      <c r="D28" s="69">
        <f>$F$9*(1+$F$10)^($A$28-1)</f>
        <v>43512285.631372795</v>
      </c>
      <c r="E28" s="66">
        <f>H4</f>
        <v>148449776.89552245</v>
      </c>
      <c r="F28" s="62">
        <f>$C$4*(1+$F$10)^($A$28-1)</f>
        <v>4399874.870978442</v>
      </c>
      <c r="G28" s="62">
        <f>SUM(A28:F28)</f>
        <v>209517330.20584846</v>
      </c>
      <c r="H28" s="131">
        <f t="shared" si="1"/>
        <v>2514.2079624701814</v>
      </c>
      <c r="I28" s="131">
        <f>SUM(H16:H28)</f>
        <v>12147.470684141714</v>
      </c>
    </row>
    <row r="29" spans="1:9" ht="29.25" thickBot="1">
      <c r="A29" s="48">
        <v>14</v>
      </c>
      <c r="B29" s="62">
        <f>$C$11</f>
        <v>11420955.63321544</v>
      </c>
      <c r="C29" s="69">
        <f>$F$8*(1+$F$10)^($A$29-1)</f>
        <v>1760440.5373807116</v>
      </c>
      <c r="D29" s="69">
        <f>$F$9*(1+$F$10)^($A$29-1)</f>
        <v>44164969.915843382</v>
      </c>
      <c r="E29" s="66"/>
      <c r="F29" s="62">
        <f>$C$4*(1+$F$10)^($A$29-1)</f>
        <v>4465872.9940431183</v>
      </c>
      <c r="G29" s="62">
        <f>SUM(B29:F29)</f>
        <v>61812239.080482654</v>
      </c>
      <c r="H29" s="131">
        <f t="shared" si="1"/>
        <v>741.7468689657918</v>
      </c>
      <c r="I29" s="131">
        <f>SUM(H16:H29)</f>
        <v>12889.217553107506</v>
      </c>
    </row>
    <row r="30" spans="1:9" ht="29.25" thickBot="1">
      <c r="A30" s="48">
        <v>15</v>
      </c>
      <c r="B30" s="62">
        <f t="shared" si="0"/>
        <v>11420955.63321544</v>
      </c>
      <c r="C30" s="69">
        <f>$F$8*(1+$F$10)^($A$30-1)</f>
        <v>1786847.145441422</v>
      </c>
      <c r="D30" s="69">
        <f>$F$9*(1+$F$10)^($A$30-1)</f>
        <v>44827444.46458102</v>
      </c>
      <c r="E30" s="66"/>
      <c r="F30" s="62">
        <f>$C$4*(1+$F$10)^($A$30-1)</f>
        <v>4532861.0889537642</v>
      </c>
      <c r="G30" s="62">
        <f>SUM(B30:F30)</f>
        <v>62568108.332191646</v>
      </c>
      <c r="H30" s="131">
        <f t="shared" si="1"/>
        <v>750.81729998629976</v>
      </c>
      <c r="I30" s="131">
        <f>SUM(H16:H30)</f>
        <v>13640.034853093806</v>
      </c>
    </row>
    <row r="31" spans="1:9" ht="29.25" thickBot="1">
      <c r="A31" s="48">
        <v>16</v>
      </c>
      <c r="B31" s="62">
        <f t="shared" si="0"/>
        <v>11420955.63321544</v>
      </c>
      <c r="C31" s="69">
        <f>$F$8*(1+$F$10)^($A$31-1)</f>
        <v>1813649.8526230429</v>
      </c>
      <c r="D31" s="69">
        <f>$F$9*(1+$F$10)^($A$31-1)</f>
        <v>45499856.131549731</v>
      </c>
      <c r="E31" s="66"/>
      <c r="F31" s="62">
        <f>$C$4*(1+$F$10)^($A$31-1)</f>
        <v>4600854.0052880701</v>
      </c>
      <c r="G31" s="62">
        <f>SUM(A31:F31)</f>
        <v>63335331.622676291</v>
      </c>
      <c r="H31" s="131">
        <f t="shared" si="1"/>
        <v>760.02397947211557</v>
      </c>
      <c r="I31" s="131">
        <f>SUM(H16:H31)</f>
        <v>14400.058832565923</v>
      </c>
    </row>
    <row r="32" spans="1:9" ht="29.25" thickBot="1">
      <c r="A32" s="48">
        <v>17</v>
      </c>
      <c r="B32" s="62">
        <f t="shared" si="0"/>
        <v>11420955.63321544</v>
      </c>
      <c r="C32" s="69">
        <f>$F$8*(1+$F$10)^($A$32-1)</f>
        <v>1840854.6004123883</v>
      </c>
      <c r="D32" s="69">
        <f>$F$9*(1+$F$10)^($A$32-1)</f>
        <v>46182353.973522969</v>
      </c>
      <c r="E32" s="66"/>
      <c r="F32" s="62">
        <f>$C$4*(1+$F$10)^($A$32-1)</f>
        <v>4669866.8153673904</v>
      </c>
      <c r="G32" s="62">
        <f t="shared" ref="G32:G40" si="2">SUM(B32:F32)</f>
        <v>64114031.022518195</v>
      </c>
      <c r="H32" s="131">
        <f t="shared" si="1"/>
        <v>769.3683722702184</v>
      </c>
      <c r="I32" s="131">
        <f>SUM(H16:H32)</f>
        <v>15169.427204836142</v>
      </c>
    </row>
    <row r="33" spans="1:9" ht="29.25" thickBot="1">
      <c r="A33" s="48">
        <v>18</v>
      </c>
      <c r="B33" s="62">
        <f t="shared" si="0"/>
        <v>11420955.63321544</v>
      </c>
      <c r="C33" s="69">
        <f>$F$8*(1+$F$10)^($A$33-1)</f>
        <v>1868467.4194185738</v>
      </c>
      <c r="D33" s="69">
        <f>$F$9*(1+$F$10)^($A$33-1)</f>
        <v>46875089.28312581</v>
      </c>
      <c r="E33" s="66"/>
      <c r="F33" s="62">
        <f>$C$4*(1+$F$10)^($A$33-1)</f>
        <v>4739914.8175979005</v>
      </c>
      <c r="G33" s="62">
        <f t="shared" si="2"/>
        <v>64904427.153357729</v>
      </c>
      <c r="H33" s="131">
        <f t="shared" si="1"/>
        <v>778.85312584029271</v>
      </c>
      <c r="I33" s="131">
        <f>SUM(H16:H33)</f>
        <v>15948.280330676434</v>
      </c>
    </row>
    <row r="34" spans="1:9" ht="29.25" thickBot="1">
      <c r="A34" s="48">
        <v>19</v>
      </c>
      <c r="B34" s="62">
        <f t="shared" si="0"/>
        <v>11420955.63321544</v>
      </c>
      <c r="C34" s="69">
        <f>$F$8*(1+$F$10)^($A$34-1)</f>
        <v>1896494.4307098524</v>
      </c>
      <c r="D34" s="69">
        <f>$F$9*(1+$F$10)^($A$34-1)</f>
        <v>47578215.622372694</v>
      </c>
      <c r="E34" s="66"/>
      <c r="F34" s="62">
        <f>$C$4*(1+$F$10)^($A$34-1)</f>
        <v>4811013.5398618691</v>
      </c>
      <c r="G34" s="62">
        <f t="shared" si="2"/>
        <v>65706679.226159856</v>
      </c>
      <c r="H34" s="131">
        <f t="shared" si="1"/>
        <v>788.48015071391819</v>
      </c>
      <c r="I34" s="131">
        <f>SUM(H16:H34)</f>
        <v>16736.760481390353</v>
      </c>
    </row>
    <row r="35" spans="1:9" ht="29.25" thickBot="1">
      <c r="A35" s="48">
        <v>20</v>
      </c>
      <c r="B35" s="62">
        <f>$C$11</f>
        <v>11420955.63321544</v>
      </c>
      <c r="C35" s="69">
        <f>$F$8*(1+$F$10)^($A$35-1)</f>
        <v>1924941.8471705001</v>
      </c>
      <c r="D35" s="69">
        <f>$F$9*(1+$F$10)^($A$35-1)</f>
        <v>48291888.856708281</v>
      </c>
      <c r="E35" s="66"/>
      <c r="F35" s="62">
        <f>$C$4*(1+$F$10)^($A$35-1)</f>
        <v>4883178.7429597965</v>
      </c>
      <c r="G35" s="62">
        <f t="shared" si="2"/>
        <v>66520965.080054015</v>
      </c>
      <c r="H35" s="131">
        <f t="shared" si="1"/>
        <v>798.2515809606482</v>
      </c>
      <c r="I35" s="131">
        <f>SUM(H16:H35)</f>
        <v>17535.012062351001</v>
      </c>
    </row>
    <row r="36" spans="1:9" ht="29.25" thickBot="1">
      <c r="A36" s="48">
        <v>21</v>
      </c>
      <c r="B36" s="62">
        <f t="shared" si="0"/>
        <v>11420955.63321544</v>
      </c>
      <c r="C36" s="69">
        <f>$F$8*(1+$F$10)^($A$36-1)</f>
        <v>1953815.9748780569</v>
      </c>
      <c r="D36" s="69">
        <f>$F$9*(1+$F$10)^($A$36-1)</f>
        <v>49016267.189558886</v>
      </c>
      <c r="E36" s="66"/>
      <c r="F36" s="62">
        <f>$C$4*(1+$F$10)^($A$36-1)</f>
        <v>4956426.4241041923</v>
      </c>
      <c r="G36" s="62">
        <f t="shared" si="2"/>
        <v>67347465.221756577</v>
      </c>
      <c r="H36" s="131">
        <f t="shared" si="1"/>
        <v>808.16958266107895</v>
      </c>
      <c r="I36" s="131">
        <f>SUM(H16:H36)</f>
        <v>18343.181645012079</v>
      </c>
    </row>
    <row r="37" spans="1:9" ht="29.25" thickBot="1">
      <c r="A37" s="48">
        <v>22</v>
      </c>
      <c r="B37" s="62">
        <f t="shared" si="0"/>
        <v>11420955.63321544</v>
      </c>
      <c r="C37" s="69">
        <f>$F$8*(1+$F$10)^($A$37-1)</f>
        <v>1983123.2145012277</v>
      </c>
      <c r="D37" s="69">
        <f>$F$9*(1+$F$10)^($A$37-1)</f>
        <v>49751511.197402269</v>
      </c>
      <c r="E37" s="66"/>
      <c r="F37" s="62">
        <f>$C$4*(1+$F$10)^($A$37-1)</f>
        <v>5030772.8204657547</v>
      </c>
      <c r="G37" s="62">
        <f t="shared" si="2"/>
        <v>68186362.865584686</v>
      </c>
      <c r="H37" s="131">
        <f t="shared" si="1"/>
        <v>818.23635438701626</v>
      </c>
      <c r="I37" s="131">
        <f>SUM(H16:H37)</f>
        <v>19161.417999399095</v>
      </c>
    </row>
    <row r="38" spans="1:9" ht="29.25" thickBot="1">
      <c r="A38" s="48">
        <v>23</v>
      </c>
      <c r="B38" s="62">
        <f t="shared" si="0"/>
        <v>11420955.63321544</v>
      </c>
      <c r="C38" s="69">
        <f>$F$8*(1+$F$10)^($A$38-1)</f>
        <v>2012870.0627187456</v>
      </c>
      <c r="D38" s="69">
        <f>$F$9*(1+$F$10)^($A$38-1)</f>
        <v>50497783.865363292</v>
      </c>
      <c r="E38" s="66"/>
      <c r="F38" s="62">
        <f>$C$4*(1+$F$10)^($A$38-1)</f>
        <v>5106234.4127727402</v>
      </c>
      <c r="G38" s="62">
        <f t="shared" si="2"/>
        <v>69037843.974070221</v>
      </c>
      <c r="H38" s="131">
        <f t="shared" si="1"/>
        <v>828.45412768884262</v>
      </c>
      <c r="I38" s="131">
        <f>SUM(H16:H38)</f>
        <v>19989.872127087936</v>
      </c>
    </row>
    <row r="39" spans="1:9" ht="29.25" thickBot="1">
      <c r="A39" s="48">
        <v>24</v>
      </c>
      <c r="B39" s="62">
        <f t="shared" si="0"/>
        <v>11420955.63321544</v>
      </c>
      <c r="C39" s="69">
        <f>$F$8*(1+$F$10)^($A$39-1)</f>
        <v>2043063.1136595267</v>
      </c>
      <c r="D39" s="69">
        <f>$F$9*(1+$F$10)^($A$39-1)</f>
        <v>51255250.623343736</v>
      </c>
      <c r="E39" s="66"/>
      <c r="F39" s="62">
        <f>$C$4*(1+$F$10)^($A$39-1)</f>
        <v>5182827.9289643308</v>
      </c>
      <c r="G39" s="62">
        <f t="shared" si="2"/>
        <v>69902097.299183026</v>
      </c>
      <c r="H39" s="131">
        <f t="shared" si="1"/>
        <v>838.82516759019632</v>
      </c>
      <c r="I39" s="131">
        <f>SUM(H16:H39)</f>
        <v>20828.697294678132</v>
      </c>
    </row>
    <row r="40" spans="1:9" ht="29.25" thickBot="1">
      <c r="A40" s="48" t="s">
        <v>38</v>
      </c>
      <c r="B40" s="70">
        <f>SUM(B16:B39)</f>
        <v>274102935.19717044</v>
      </c>
      <c r="C40" s="58">
        <f>SUM(C16:C39)</f>
        <v>41537233.090961672</v>
      </c>
      <c r="D40" s="58">
        <f>SUM(D16:D39)</f>
        <v>1042063398.846269</v>
      </c>
      <c r="E40" s="73">
        <f>SUM(E16:E39)</f>
        <v>272649776.89552248</v>
      </c>
      <c r="F40" s="62">
        <f>SUM(F16:F39)</f>
        <v>105371356.52658734</v>
      </c>
      <c r="G40" s="62">
        <f t="shared" si="2"/>
        <v>1735724700.5565107</v>
      </c>
      <c r="H40" s="17"/>
      <c r="I40" s="69">
        <f>12*G40/1000000</f>
        <v>20828.696406678126</v>
      </c>
    </row>
    <row r="41" spans="1:9" ht="27" thickBot="1">
      <c r="B41" s="70">
        <f>B40*12</f>
        <v>3289235222.366045</v>
      </c>
      <c r="C41" s="70">
        <f t="shared" ref="C41:I41" si="3">C40*12</f>
        <v>498446797.0915401</v>
      </c>
      <c r="D41" s="70">
        <f t="shared" si="3"/>
        <v>12504760786.155228</v>
      </c>
      <c r="E41" s="70">
        <f t="shared" si="3"/>
        <v>3271797322.7462697</v>
      </c>
      <c r="F41" s="70">
        <f t="shared" si="3"/>
        <v>1264456278.3190479</v>
      </c>
      <c r="G41" s="70">
        <f t="shared" si="3"/>
        <v>20828696406.678127</v>
      </c>
      <c r="H41" s="70">
        <f t="shared" si="3"/>
        <v>0</v>
      </c>
      <c r="I41" s="70">
        <f t="shared" si="3"/>
        <v>249944.35688013752</v>
      </c>
    </row>
  </sheetData>
  <mergeCells count="11">
    <mergeCell ref="A11:B11"/>
    <mergeCell ref="A1:G1"/>
    <mergeCell ref="A3:B3"/>
    <mergeCell ref="A4:B4"/>
    <mergeCell ref="A2:B2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7" workbookViewId="0">
      <selection activeCell="C1" sqref="C1"/>
    </sheetView>
  </sheetViews>
  <sheetFormatPr defaultColWidth="11.42578125" defaultRowHeight="15"/>
  <cols>
    <col min="1" max="1" width="25.42578125" customWidth="1"/>
    <col min="2" max="2" width="20.85546875" customWidth="1"/>
    <col min="3" max="3" width="25.7109375" customWidth="1"/>
    <col min="4" max="4" width="24.28515625" customWidth="1"/>
    <col min="5" max="5" width="22.85546875" customWidth="1"/>
  </cols>
  <sheetData>
    <row r="1" spans="1:5" ht="34.5">
      <c r="C1" s="115" t="s">
        <v>169</v>
      </c>
    </row>
    <row r="2" spans="1:5" ht="28.5">
      <c r="C2" s="14" t="s">
        <v>148</v>
      </c>
    </row>
    <row r="3" spans="1:5" ht="15.75" thickBot="1"/>
    <row r="4" spans="1:5" ht="86.25" thickBot="1">
      <c r="A4" s="94" t="s">
        <v>138</v>
      </c>
      <c r="B4" s="94" t="s">
        <v>139</v>
      </c>
      <c r="C4" s="94" t="s">
        <v>140</v>
      </c>
      <c r="D4" s="94" t="s">
        <v>91</v>
      </c>
      <c r="E4" s="94" t="s">
        <v>143</v>
      </c>
    </row>
    <row r="5" spans="1:5" ht="29.25" thickBot="1">
      <c r="A5" s="70">
        <f>'24 Years Cost of  VRF'!B40</f>
        <v>274102935.19717044</v>
      </c>
      <c r="B5" s="58">
        <f>'24 Years Cost of  VRF'!C40</f>
        <v>41537233.090961672</v>
      </c>
      <c r="C5" s="58">
        <f>'24 Years Cost of  VRF'!D40</f>
        <v>1042063398.846269</v>
      </c>
      <c r="D5" s="70">
        <f>'24 Years Cost of  VRF'!E40</f>
        <v>272649776.89552248</v>
      </c>
      <c r="E5" s="58">
        <f>'24 Years Cost of  VRF'!F40</f>
        <v>105371356.52658734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Charts</vt:lpstr>
      </vt:variant>
      <vt:variant>
        <vt:i4>1</vt:i4>
      </vt:variant>
    </vt:vector>
  </HeadingPairs>
  <TitlesOfParts>
    <vt:vector size="20" baseType="lpstr">
      <vt:lpstr>DC Annual Consumption </vt:lpstr>
      <vt:lpstr>DC Capital Cost </vt:lpstr>
      <vt:lpstr>VRF Capital &amp; Running Cost </vt:lpstr>
      <vt:lpstr>DX Capital &amp; Running Cost </vt:lpstr>
      <vt:lpstr>24 Years Cost of  DC </vt:lpstr>
      <vt:lpstr>Graph 24 Yers DC</vt:lpstr>
      <vt:lpstr>Graph 24 Years DC-1</vt:lpstr>
      <vt:lpstr>24 Years Cost of  VRF</vt:lpstr>
      <vt:lpstr>Graph 24 Yers VRF</vt:lpstr>
      <vt:lpstr>24 Years Cost of  DX</vt:lpstr>
      <vt:lpstr>Graph 24 Yers DX</vt:lpstr>
      <vt:lpstr>24Years Cost of 3 Alertinatives</vt:lpstr>
      <vt:lpstr>Graph 24 Yeas Total Cost </vt:lpstr>
      <vt:lpstr>Sheet1</vt:lpstr>
      <vt:lpstr>Graph Cost of  Power Station &amp; </vt:lpstr>
      <vt:lpstr>Graph Peak Electric Power Deman</vt:lpstr>
      <vt:lpstr>Graph Electrical Utility Cost</vt:lpstr>
      <vt:lpstr>Graph Annual CO2 Emission </vt:lpstr>
      <vt:lpstr>Graph  Accumalted Total Cost</vt:lpstr>
      <vt:lpstr>Cost comparison all systems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mgzedan</dc:creator>
  <cp:lastModifiedBy>User</cp:lastModifiedBy>
  <cp:lastPrinted>2018-11-19T07:19:00Z</cp:lastPrinted>
  <dcterms:created xsi:type="dcterms:W3CDTF">2018-06-17T07:51:10Z</dcterms:created>
  <dcterms:modified xsi:type="dcterms:W3CDTF">2019-05-16T22:59:41Z</dcterms:modified>
</cp:coreProperties>
</file>