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0115" windowHeight="7935"/>
  </bookViews>
  <sheets>
    <sheet name="MC10" sheetId="3" r:id="rId1"/>
    <sheet name="ACI" sheetId="5" r:id="rId2"/>
    <sheet name="s-e Lin" sheetId="1" r:id="rId3"/>
    <sheet name="s-e NLin" sheetId="2" r:id="rId4"/>
  </sheets>
  <calcPr calcId="144525" iterate="1"/>
</workbook>
</file>

<file path=xl/calcChain.xml><?xml version="1.0" encoding="utf-8"?>
<calcChain xmlns="http://schemas.openxmlformats.org/spreadsheetml/2006/main">
  <c r="Q24" i="5" l="1"/>
  <c r="Q23" i="5"/>
  <c r="M5" i="3" l="1"/>
  <c r="M13" i="3" l="1"/>
  <c r="B7" i="3"/>
  <c r="B6" i="3"/>
  <c r="B4" i="3"/>
  <c r="M17" i="3"/>
  <c r="B13" i="3"/>
  <c r="M24" i="3" l="1"/>
  <c r="M21" i="3"/>
  <c r="M4" i="3" l="1"/>
  <c r="M7" i="3" s="1"/>
  <c r="M2" i="3"/>
  <c r="M6" i="3" s="1"/>
  <c r="J12" i="3"/>
  <c r="J20" i="3" l="1"/>
  <c r="J21" i="3"/>
  <c r="J15" i="3"/>
  <c r="J17" i="3" s="1"/>
  <c r="J23" i="5" l="1"/>
  <c r="Q22" i="5"/>
  <c r="N24" i="5"/>
  <c r="N23" i="5"/>
  <c r="N22" i="5"/>
  <c r="N16" i="5"/>
  <c r="N15" i="5"/>
  <c r="N14" i="5"/>
  <c r="N13" i="5"/>
  <c r="N11" i="5"/>
  <c r="N10" i="5"/>
  <c r="B8" i="5"/>
  <c r="N9" i="5"/>
  <c r="N8" i="5"/>
  <c r="N6" i="5"/>
  <c r="S4" i="5"/>
  <c r="O4" i="5"/>
  <c r="C24" i="5"/>
  <c r="B19" i="5"/>
  <c r="B17" i="5"/>
  <c r="C22" i="5"/>
  <c r="B14" i="5"/>
  <c r="B12" i="5"/>
  <c r="B10" i="5"/>
  <c r="C5" i="5"/>
  <c r="B20" i="5" l="1"/>
  <c r="B6" i="5" l="1"/>
  <c r="B21" i="5" s="1"/>
  <c r="B22" i="5" s="1"/>
  <c r="B4" i="5"/>
  <c r="J24" i="5" l="1"/>
  <c r="B23" i="5"/>
  <c r="B24" i="5" s="1"/>
  <c r="J19" i="3"/>
  <c r="J18" i="3"/>
  <c r="J16" i="3"/>
  <c r="B18" i="3"/>
  <c r="B21" i="3" s="1"/>
  <c r="J13" i="3"/>
  <c r="J14" i="3" s="1"/>
  <c r="F24" i="3"/>
  <c r="F22" i="3"/>
  <c r="C5" i="3"/>
  <c r="C24" i="3"/>
  <c r="C22" i="3"/>
  <c r="M10" i="3"/>
  <c r="I10" i="3"/>
  <c r="C8" i="3"/>
  <c r="C23" i="3"/>
  <c r="B9" i="3"/>
  <c r="M22" i="3" l="1"/>
  <c r="J23" i="3"/>
  <c r="J22" i="3"/>
  <c r="J24" i="3" s="1"/>
  <c r="M20" i="3"/>
  <c r="M23" i="3"/>
  <c r="B19" i="3"/>
  <c r="B20" i="3"/>
  <c r="B8" i="3"/>
  <c r="B5" i="3"/>
  <c r="B23" i="3" l="1"/>
  <c r="F21" i="3"/>
  <c r="B22" i="3"/>
  <c r="F23" i="3"/>
  <c r="J25" i="3"/>
  <c r="B24" i="3" l="1"/>
  <c r="A8" i="2"/>
  <c r="A9" i="2" s="1"/>
  <c r="A7" i="2"/>
  <c r="D5" i="2"/>
  <c r="B4" i="2"/>
  <c r="B7" i="2" s="1"/>
  <c r="D3" i="2"/>
  <c r="B3" i="1"/>
  <c r="A3" i="1"/>
  <c r="A4" i="1" s="1"/>
  <c r="A5" i="1" s="1"/>
  <c r="B2" i="1"/>
  <c r="H1" i="1"/>
  <c r="A10" i="2" l="1"/>
  <c r="B9" i="2"/>
  <c r="D1" i="2"/>
  <c r="B6" i="2"/>
  <c r="B8" i="2"/>
  <c r="B5" i="1"/>
  <c r="A6" i="1"/>
  <c r="B4" i="1"/>
  <c r="A11" i="2" l="1"/>
  <c r="B10" i="2"/>
  <c r="A7" i="1"/>
  <c r="B6" i="1"/>
  <c r="B11" i="2" l="1"/>
  <c r="A12" i="2"/>
  <c r="B7" i="1"/>
  <c r="A8" i="1"/>
  <c r="A13" i="2" l="1"/>
  <c r="B12" i="2"/>
  <c r="A9" i="1"/>
  <c r="B8" i="1"/>
  <c r="A14" i="2" l="1"/>
  <c r="B13" i="2"/>
  <c r="B9" i="1"/>
  <c r="A10" i="1"/>
  <c r="A15" i="2" l="1"/>
  <c r="B14" i="2"/>
  <c r="A11" i="1"/>
  <c r="B10" i="1"/>
  <c r="B15" i="2" l="1"/>
  <c r="A16" i="2"/>
  <c r="B11" i="1"/>
  <c r="A12" i="1"/>
  <c r="A17" i="2" l="1"/>
  <c r="B16" i="2"/>
  <c r="A13" i="1"/>
  <c r="B12" i="1"/>
  <c r="A18" i="2" l="1"/>
  <c r="B17" i="2"/>
  <c r="B13" i="1"/>
  <c r="A14" i="1"/>
  <c r="A19" i="2" l="1"/>
  <c r="B18" i="2"/>
  <c r="A15" i="1"/>
  <c r="B14" i="1"/>
  <c r="B19" i="2" l="1"/>
  <c r="A20" i="2"/>
  <c r="B15" i="1"/>
  <c r="A16" i="1"/>
  <c r="A21" i="2" l="1"/>
  <c r="B20" i="2"/>
  <c r="A17" i="1"/>
  <c r="B16" i="1"/>
  <c r="A22" i="2" l="1"/>
  <c r="B21" i="2"/>
  <c r="B17" i="1"/>
  <c r="A18" i="1"/>
  <c r="A23" i="2" l="1"/>
  <c r="B22" i="2"/>
  <c r="A19" i="1"/>
  <c r="B18" i="1"/>
  <c r="B23" i="2" l="1"/>
  <c r="A24" i="2"/>
  <c r="B19" i="1"/>
  <c r="A20" i="1"/>
  <c r="A25" i="2" l="1"/>
  <c r="B24" i="2"/>
  <c r="A21" i="1"/>
  <c r="B20" i="1"/>
  <c r="A26" i="2" l="1"/>
  <c r="B25" i="2"/>
  <c r="B21" i="1"/>
  <c r="A22" i="1"/>
  <c r="A27" i="2" l="1"/>
  <c r="B26" i="2"/>
  <c r="A23" i="1"/>
  <c r="B22" i="1"/>
  <c r="B27" i="2" l="1"/>
  <c r="A28" i="2"/>
  <c r="B23" i="1"/>
  <c r="A24" i="1"/>
  <c r="A29" i="2" l="1"/>
  <c r="B28" i="2"/>
  <c r="A25" i="1"/>
  <c r="B24" i="1"/>
  <c r="A30" i="2" l="1"/>
  <c r="B29" i="2"/>
  <c r="B25" i="1"/>
  <c r="A26" i="1"/>
  <c r="A31" i="2" l="1"/>
  <c r="B30" i="2"/>
  <c r="A27" i="1"/>
  <c r="B26" i="1"/>
  <c r="A32" i="2" l="1"/>
  <c r="B31" i="2"/>
  <c r="B27" i="1"/>
  <c r="A28" i="1"/>
  <c r="A33" i="2" l="1"/>
  <c r="B32" i="2"/>
  <c r="A29" i="1"/>
  <c r="B28" i="1"/>
  <c r="A34" i="2" l="1"/>
  <c r="B33" i="2"/>
  <c r="B29" i="1"/>
  <c r="A30" i="1"/>
  <c r="A35" i="2" l="1"/>
  <c r="B34" i="2"/>
  <c r="A31" i="1"/>
  <c r="B30" i="1"/>
  <c r="B35" i="2" l="1"/>
  <c r="A36" i="2"/>
  <c r="B31" i="1"/>
  <c r="A32" i="1"/>
  <c r="A37" i="2" l="1"/>
  <c r="B36" i="2"/>
  <c r="A33" i="1"/>
  <c r="B32" i="1"/>
  <c r="A38" i="2" l="1"/>
  <c r="B37" i="2"/>
  <c r="B33" i="1"/>
  <c r="A34" i="1"/>
  <c r="A39" i="2" l="1"/>
  <c r="B38" i="2"/>
  <c r="A35" i="1"/>
  <c r="B34" i="1"/>
  <c r="B39" i="2" l="1"/>
  <c r="A40" i="2"/>
  <c r="B35" i="1"/>
  <c r="A36" i="1"/>
  <c r="A41" i="2" l="1"/>
  <c r="B41" i="2" s="1"/>
  <c r="B40" i="2"/>
  <c r="A37" i="1"/>
  <c r="B36" i="1"/>
  <c r="B37" i="1" l="1"/>
  <c r="A38" i="1"/>
  <c r="A39" i="1" l="1"/>
  <c r="B38" i="1"/>
  <c r="B39" i="1" l="1"/>
  <c r="A40" i="1"/>
  <c r="A41" i="1" l="1"/>
  <c r="B40" i="1"/>
  <c r="B41" i="1" l="1"/>
  <c r="A42" i="1"/>
  <c r="A43" i="1" l="1"/>
  <c r="B42" i="1"/>
  <c r="B43" i="1" l="1"/>
  <c r="A44" i="1"/>
  <c r="A45" i="1" l="1"/>
  <c r="B44" i="1"/>
  <c r="B45" i="1" l="1"/>
  <c r="A46" i="1"/>
  <c r="A47" i="1" l="1"/>
  <c r="B46" i="1"/>
  <c r="B47" i="1" l="1"/>
  <c r="A48" i="1"/>
  <c r="A49" i="1" l="1"/>
  <c r="B48" i="1"/>
  <c r="B49" i="1" l="1"/>
  <c r="A50" i="1"/>
  <c r="A51" i="1" l="1"/>
  <c r="B50" i="1"/>
  <c r="B51" i="1" l="1"/>
  <c r="A52" i="1"/>
  <c r="A53" i="1" l="1"/>
  <c r="B52" i="1"/>
  <c r="B53" i="1" l="1"/>
  <c r="A54" i="1"/>
  <c r="A55" i="1" l="1"/>
  <c r="B54" i="1"/>
  <c r="B55" i="1" l="1"/>
  <c r="A56" i="1"/>
  <c r="A57" i="1" l="1"/>
  <c r="B56" i="1"/>
  <c r="A58" i="1" l="1"/>
  <c r="B57" i="1"/>
  <c r="B58" i="1" l="1"/>
  <c r="A59" i="1"/>
  <c r="A60" i="1" l="1"/>
  <c r="B59" i="1"/>
  <c r="B60" i="1" l="1"/>
  <c r="A61" i="1"/>
  <c r="A62" i="1" l="1"/>
  <c r="B61" i="1"/>
  <c r="A63" i="1" l="1"/>
  <c r="B62" i="1"/>
  <c r="A64" i="1" l="1"/>
  <c r="B63" i="1"/>
  <c r="A65" i="1" l="1"/>
  <c r="B64" i="1"/>
  <c r="A66" i="1" l="1"/>
  <c r="B65" i="1"/>
  <c r="B66" i="1" l="1"/>
  <c r="A67" i="1"/>
  <c r="A68" i="1" l="1"/>
  <c r="B67" i="1"/>
  <c r="B68" i="1" l="1"/>
  <c r="A69" i="1"/>
  <c r="A70" i="1" l="1"/>
  <c r="B69" i="1"/>
  <c r="A71" i="1" l="1"/>
  <c r="B70" i="1"/>
  <c r="A72" i="1" l="1"/>
  <c r="B71" i="1"/>
  <c r="A73" i="1" l="1"/>
  <c r="B72" i="1"/>
  <c r="A74" i="1" l="1"/>
  <c r="B73" i="1"/>
  <c r="B74" i="1" l="1"/>
  <c r="A75" i="1"/>
  <c r="A76" i="1" l="1"/>
  <c r="B75" i="1"/>
  <c r="B76" i="1" l="1"/>
  <c r="A77" i="1"/>
  <c r="A78" i="1" l="1"/>
  <c r="B77" i="1"/>
  <c r="A79" i="1" l="1"/>
  <c r="B78" i="1"/>
  <c r="A80" i="1" l="1"/>
  <c r="B79" i="1"/>
  <c r="A81" i="1" l="1"/>
  <c r="B80" i="1"/>
  <c r="A82" i="1" l="1"/>
  <c r="B81" i="1"/>
  <c r="B82" i="1" l="1"/>
  <c r="A83" i="1"/>
  <c r="A84" i="1" l="1"/>
  <c r="B83" i="1"/>
  <c r="B84" i="1" l="1"/>
  <c r="A85" i="1"/>
  <c r="A86" i="1" l="1"/>
  <c r="B85" i="1"/>
  <c r="A87" i="1" l="1"/>
  <c r="B86" i="1"/>
  <c r="A88" i="1" l="1"/>
  <c r="B87" i="1"/>
  <c r="A89" i="1" l="1"/>
  <c r="B88" i="1"/>
  <c r="A90" i="1" l="1"/>
  <c r="B89" i="1"/>
  <c r="B90" i="1" l="1"/>
  <c r="A91" i="1"/>
  <c r="A92" i="1" l="1"/>
  <c r="B91" i="1"/>
  <c r="B92" i="1" l="1"/>
  <c r="A93" i="1"/>
  <c r="A94" i="1" l="1"/>
  <c r="B93" i="1"/>
  <c r="A95" i="1" l="1"/>
  <c r="B94" i="1"/>
  <c r="A96" i="1" l="1"/>
  <c r="B95" i="1"/>
  <c r="A97" i="1" l="1"/>
  <c r="B96" i="1"/>
  <c r="A98" i="1" l="1"/>
  <c r="B97" i="1"/>
  <c r="B98" i="1" l="1"/>
  <c r="A99" i="1"/>
  <c r="A100" i="1" l="1"/>
  <c r="B99" i="1"/>
  <c r="B100" i="1" l="1"/>
  <c r="A101" i="1"/>
  <c r="A102" i="1" l="1"/>
  <c r="B101" i="1"/>
  <c r="A103" i="1" l="1"/>
  <c r="B102" i="1"/>
  <c r="A104" i="1" l="1"/>
  <c r="B103" i="1"/>
  <c r="A105" i="1" l="1"/>
  <c r="B104" i="1"/>
  <c r="A106" i="1" l="1"/>
  <c r="B105" i="1"/>
  <c r="B106" i="1" l="1"/>
  <c r="A107" i="1"/>
  <c r="A108" i="1" l="1"/>
  <c r="B107" i="1"/>
  <c r="B108" i="1" l="1"/>
  <c r="A109" i="1"/>
  <c r="A110" i="1" l="1"/>
  <c r="B109" i="1"/>
  <c r="A111" i="1" l="1"/>
  <c r="B110" i="1"/>
  <c r="A112" i="1" l="1"/>
  <c r="B111" i="1"/>
  <c r="A113" i="1" l="1"/>
  <c r="B112" i="1"/>
  <c r="A114" i="1" l="1"/>
  <c r="B113" i="1"/>
  <c r="B114" i="1" l="1"/>
  <c r="A115" i="1"/>
  <c r="A116" i="1" l="1"/>
  <c r="B115" i="1"/>
  <c r="B116" i="1" l="1"/>
  <c r="A117" i="1"/>
  <c r="A118" i="1" l="1"/>
  <c r="B117" i="1"/>
  <c r="A119" i="1" l="1"/>
  <c r="B118" i="1"/>
  <c r="A120" i="1" l="1"/>
  <c r="B119" i="1"/>
  <c r="A121" i="1" l="1"/>
  <c r="B120" i="1"/>
  <c r="A122" i="1" l="1"/>
  <c r="B121" i="1"/>
  <c r="B122" i="1" l="1"/>
  <c r="A123" i="1"/>
  <c r="A124" i="1" l="1"/>
  <c r="B123" i="1"/>
  <c r="A125" i="1" l="1"/>
  <c r="B124" i="1"/>
  <c r="B125" i="1" l="1"/>
  <c r="A126" i="1"/>
  <c r="A127" i="1" l="1"/>
  <c r="B126" i="1"/>
  <c r="B127" i="1" l="1"/>
  <c r="A128" i="1"/>
  <c r="A129" i="1" l="1"/>
  <c r="B128" i="1"/>
  <c r="B129" i="1" l="1"/>
  <c r="A130" i="1"/>
  <c r="A131" i="1" l="1"/>
  <c r="B130" i="1"/>
  <c r="B131" i="1" l="1"/>
  <c r="A132" i="1"/>
  <c r="A133" i="1" l="1"/>
  <c r="B132" i="1"/>
  <c r="A134" i="1" l="1"/>
  <c r="B133" i="1"/>
  <c r="A135" i="1" l="1"/>
  <c r="B134" i="1"/>
  <c r="A136" i="1" l="1"/>
  <c r="B135" i="1"/>
  <c r="A137" i="1" l="1"/>
  <c r="B136" i="1"/>
  <c r="A138" i="1" l="1"/>
  <c r="B137" i="1"/>
  <c r="A139" i="1" l="1"/>
  <c r="B138" i="1"/>
  <c r="A140" i="1" l="1"/>
  <c r="B139" i="1"/>
  <c r="A141" i="1" l="1"/>
  <c r="B140" i="1"/>
  <c r="A142" i="1" l="1"/>
  <c r="B141" i="1"/>
  <c r="A143" i="1" l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F143" i="1"/>
  <c r="B142" i="1"/>
  <c r="B143" i="1" l="1"/>
  <c r="B162" i="1"/>
  <c r="B160" i="1"/>
  <c r="B158" i="1"/>
  <c r="B156" i="1"/>
  <c r="B154" i="1"/>
  <c r="B152" i="1"/>
  <c r="B150" i="1"/>
  <c r="B148" i="1"/>
  <c r="B146" i="1"/>
  <c r="B144" i="1"/>
  <c r="B161" i="1"/>
  <c r="B159" i="1"/>
  <c r="B157" i="1"/>
  <c r="B155" i="1"/>
  <c r="B153" i="1"/>
  <c r="B151" i="1"/>
  <c r="B149" i="1"/>
  <c r="B147" i="1"/>
  <c r="B145" i="1"/>
  <c r="B163" i="1"/>
  <c r="A164" i="1"/>
  <c r="A165" i="1" l="1"/>
  <c r="B164" i="1"/>
  <c r="B165" i="1" l="1"/>
  <c r="A166" i="1"/>
  <c r="A167" i="1" l="1"/>
  <c r="B166" i="1"/>
  <c r="B167" i="1" l="1"/>
  <c r="A168" i="1"/>
  <c r="A169" i="1" l="1"/>
  <c r="B168" i="1"/>
  <c r="B169" i="1" l="1"/>
  <c r="A170" i="1"/>
  <c r="A171" i="1" l="1"/>
  <c r="B170" i="1"/>
  <c r="B171" i="1" l="1"/>
  <c r="A172" i="1"/>
  <c r="A173" i="1" l="1"/>
  <c r="B172" i="1"/>
  <c r="B173" i="1" l="1"/>
  <c r="A174" i="1"/>
  <c r="A175" i="1" l="1"/>
  <c r="B174" i="1"/>
  <c r="B175" i="1" l="1"/>
  <c r="A176" i="1"/>
  <c r="A177" i="1" l="1"/>
  <c r="B176" i="1"/>
  <c r="B177" i="1" l="1"/>
  <c r="A178" i="1"/>
  <c r="A179" i="1" l="1"/>
  <c r="B178" i="1"/>
  <c r="B179" i="1" l="1"/>
  <c r="A180" i="1"/>
  <c r="A181" i="1" l="1"/>
  <c r="B180" i="1"/>
  <c r="B181" i="1" l="1"/>
  <c r="A182" i="1"/>
  <c r="A183" i="1" l="1"/>
  <c r="B182" i="1"/>
  <c r="B183" i="1" l="1"/>
  <c r="A184" i="1"/>
  <c r="A185" i="1" l="1"/>
  <c r="B184" i="1"/>
  <c r="B185" i="1" l="1"/>
  <c r="A186" i="1"/>
  <c r="A187" i="1" l="1"/>
  <c r="B186" i="1"/>
  <c r="B187" i="1" l="1"/>
  <c r="A188" i="1"/>
  <c r="A189" i="1" l="1"/>
  <c r="B188" i="1"/>
  <c r="B189" i="1" l="1"/>
  <c r="A190" i="1"/>
  <c r="A191" i="1" l="1"/>
  <c r="B190" i="1"/>
  <c r="B191" i="1" l="1"/>
  <c r="A192" i="1"/>
  <c r="A193" i="1" l="1"/>
  <c r="B192" i="1"/>
  <c r="B193" i="1" l="1"/>
  <c r="A194" i="1"/>
  <c r="A195" i="1" l="1"/>
  <c r="B194" i="1"/>
  <c r="B195" i="1" l="1"/>
  <c r="A196" i="1"/>
  <c r="A197" i="1" l="1"/>
  <c r="B196" i="1"/>
  <c r="B197" i="1" l="1"/>
  <c r="A198" i="1"/>
  <c r="A199" i="1" l="1"/>
  <c r="B198" i="1"/>
  <c r="B199" i="1" l="1"/>
  <c r="A200" i="1"/>
  <c r="A201" i="1" l="1"/>
  <c r="B200" i="1"/>
  <c r="B201" i="1" l="1"/>
  <c r="A202" i="1"/>
  <c r="A203" i="1" l="1"/>
  <c r="B202" i="1"/>
  <c r="A204" i="1" l="1"/>
  <c r="B203" i="1"/>
  <c r="A205" i="1" l="1"/>
  <c r="B204" i="1"/>
  <c r="A206" i="1" l="1"/>
  <c r="B205" i="1"/>
  <c r="A207" i="1" l="1"/>
  <c r="B206" i="1"/>
  <c r="A208" i="1" l="1"/>
  <c r="B207" i="1"/>
  <c r="A209" i="1" l="1"/>
  <c r="B208" i="1"/>
  <c r="A210" i="1" l="1"/>
  <c r="B209" i="1"/>
  <c r="A211" i="1" l="1"/>
  <c r="B210" i="1"/>
  <c r="A212" i="1" l="1"/>
  <c r="B211" i="1"/>
  <c r="A213" i="1" l="1"/>
  <c r="B212" i="1"/>
  <c r="A214" i="1" l="1"/>
  <c r="B213" i="1"/>
  <c r="A215" i="1" l="1"/>
  <c r="B214" i="1"/>
  <c r="A216" i="1" l="1"/>
  <c r="B215" i="1"/>
  <c r="A217" i="1" l="1"/>
  <c r="B216" i="1"/>
  <c r="A218" i="1" l="1"/>
  <c r="B217" i="1"/>
  <c r="A219" i="1" l="1"/>
  <c r="B218" i="1"/>
  <c r="A220" i="1" l="1"/>
  <c r="B219" i="1"/>
  <c r="A221" i="1" l="1"/>
  <c r="B220" i="1"/>
  <c r="A222" i="1" l="1"/>
  <c r="B221" i="1"/>
  <c r="A223" i="1" l="1"/>
  <c r="B222" i="1"/>
  <c r="A224" i="1" l="1"/>
  <c r="B223" i="1"/>
  <c r="A225" i="1" l="1"/>
  <c r="B224" i="1"/>
  <c r="A226" i="1" l="1"/>
  <c r="B225" i="1"/>
  <c r="A227" i="1" l="1"/>
  <c r="B226" i="1"/>
  <c r="A228" i="1" l="1"/>
  <c r="B227" i="1"/>
  <c r="A229" i="1" l="1"/>
  <c r="B228" i="1"/>
  <c r="A230" i="1" l="1"/>
  <c r="B229" i="1"/>
  <c r="A231" i="1" l="1"/>
  <c r="B230" i="1"/>
  <c r="A232" i="1" l="1"/>
  <c r="B231" i="1"/>
  <c r="A233" i="1" l="1"/>
  <c r="B232" i="1"/>
  <c r="A234" i="1" l="1"/>
  <c r="B233" i="1"/>
  <c r="A235" i="1" l="1"/>
  <c r="B234" i="1"/>
  <c r="A236" i="1" l="1"/>
  <c r="B235" i="1"/>
  <c r="A237" i="1" l="1"/>
  <c r="B236" i="1"/>
  <c r="A238" i="1" l="1"/>
  <c r="B237" i="1"/>
  <c r="A239" i="1" l="1"/>
  <c r="B238" i="1"/>
  <c r="A240" i="1" l="1"/>
  <c r="B239" i="1"/>
  <c r="A241" i="1" l="1"/>
  <c r="B240" i="1"/>
  <c r="A242" i="1" l="1"/>
  <c r="B241" i="1"/>
  <c r="A243" i="1" l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B242" i="1"/>
  <c r="F243" i="1"/>
  <c r="B243" i="1" l="1"/>
  <c r="B279" i="1"/>
  <c r="B276" i="1"/>
  <c r="B271" i="1"/>
  <c r="B268" i="1"/>
  <c r="B263" i="1"/>
  <c r="B260" i="1"/>
  <c r="B255" i="1"/>
  <c r="B252" i="1"/>
  <c r="B247" i="1"/>
  <c r="B244" i="1"/>
  <c r="B282" i="1"/>
  <c r="B278" i="1"/>
  <c r="B273" i="1"/>
  <c r="B270" i="1"/>
  <c r="B265" i="1"/>
  <c r="B262" i="1"/>
  <c r="B257" i="1"/>
  <c r="B254" i="1"/>
  <c r="B249" i="1"/>
  <c r="B246" i="1"/>
  <c r="B280" i="1"/>
  <c r="B277" i="1"/>
  <c r="B274" i="1"/>
  <c r="B269" i="1"/>
  <c r="B266" i="1"/>
  <c r="B261" i="1"/>
  <c r="B258" i="1"/>
  <c r="B253" i="1"/>
  <c r="B250" i="1"/>
  <c r="B245" i="1"/>
  <c r="B275" i="1"/>
  <c r="B264" i="1"/>
  <c r="B272" i="1"/>
  <c r="B251" i="1"/>
  <c r="B281" i="1"/>
  <c r="B259" i="1"/>
  <c r="B248" i="1"/>
  <c r="B267" i="1"/>
  <c r="B256" i="1"/>
  <c r="A284" i="1"/>
  <c r="B283" i="1"/>
  <c r="A285" i="1" l="1"/>
  <c r="B284" i="1"/>
  <c r="A286" i="1" l="1"/>
  <c r="B285" i="1"/>
  <c r="A287" i="1" l="1"/>
  <c r="B286" i="1"/>
  <c r="A288" i="1" l="1"/>
  <c r="B287" i="1"/>
  <c r="A289" i="1" l="1"/>
  <c r="B288" i="1"/>
  <c r="A290" i="1" l="1"/>
  <c r="B289" i="1"/>
  <c r="A291" i="1" l="1"/>
  <c r="B290" i="1"/>
  <c r="A292" i="1" l="1"/>
  <c r="B291" i="1"/>
  <c r="A293" i="1" l="1"/>
  <c r="B292" i="1"/>
  <c r="A294" i="1" l="1"/>
  <c r="B293" i="1"/>
  <c r="A295" i="1" l="1"/>
  <c r="B294" i="1"/>
  <c r="A296" i="1" l="1"/>
  <c r="B295" i="1"/>
  <c r="A297" i="1" l="1"/>
  <c r="B296" i="1"/>
  <c r="A298" i="1" l="1"/>
  <c r="B297" i="1"/>
  <c r="B298" i="1" l="1"/>
  <c r="A299" i="1"/>
  <c r="A300" i="1" l="1"/>
  <c r="B299" i="1"/>
  <c r="B300" i="1" l="1"/>
  <c r="A301" i="1"/>
  <c r="A302" i="1" l="1"/>
  <c r="B301" i="1"/>
  <c r="B302" i="1" l="1"/>
  <c r="A303" i="1"/>
  <c r="A304" i="1" l="1"/>
  <c r="B303" i="1"/>
  <c r="B304" i="1" l="1"/>
  <c r="A305" i="1"/>
  <c r="A306" i="1" l="1"/>
  <c r="B305" i="1"/>
  <c r="B306" i="1" l="1"/>
  <c r="A307" i="1"/>
  <c r="A308" i="1" l="1"/>
  <c r="B307" i="1"/>
  <c r="B308" i="1" l="1"/>
  <c r="A309" i="1"/>
  <c r="A310" i="1" l="1"/>
  <c r="B309" i="1"/>
  <c r="B310" i="1" l="1"/>
  <c r="A311" i="1"/>
  <c r="A312" i="1" l="1"/>
  <c r="B311" i="1"/>
  <c r="B312" i="1" l="1"/>
  <c r="A313" i="1"/>
  <c r="A314" i="1" l="1"/>
  <c r="B313" i="1"/>
  <c r="B314" i="1" l="1"/>
  <c r="A315" i="1"/>
  <c r="A316" i="1" l="1"/>
  <c r="B315" i="1"/>
  <c r="B316" i="1" l="1"/>
  <c r="A317" i="1"/>
  <c r="A318" i="1" l="1"/>
  <c r="B317" i="1"/>
  <c r="B318" i="1" l="1"/>
  <c r="A319" i="1"/>
  <c r="A320" i="1" l="1"/>
  <c r="B319" i="1"/>
  <c r="B320" i="1" l="1"/>
  <c r="A321" i="1"/>
  <c r="A322" i="1" l="1"/>
  <c r="B321" i="1"/>
  <c r="B322" i="1" l="1"/>
  <c r="A323" i="1"/>
  <c r="A324" i="1" l="1"/>
  <c r="B323" i="1"/>
  <c r="A325" i="1" l="1"/>
  <c r="B324" i="1"/>
  <c r="A326" i="1" l="1"/>
  <c r="B325" i="1"/>
  <c r="A327" i="1" l="1"/>
  <c r="B326" i="1"/>
  <c r="A328" i="1" l="1"/>
  <c r="B327" i="1"/>
  <c r="A329" i="1" l="1"/>
  <c r="B328" i="1"/>
  <c r="A330" i="1" l="1"/>
  <c r="B329" i="1"/>
  <c r="A331" i="1" l="1"/>
  <c r="B330" i="1"/>
  <c r="A332" i="1" l="1"/>
  <c r="B331" i="1"/>
  <c r="A333" i="1" l="1"/>
  <c r="B332" i="1"/>
  <c r="A334" i="1" l="1"/>
  <c r="B333" i="1"/>
  <c r="A335" i="1" l="1"/>
  <c r="B334" i="1"/>
  <c r="A336" i="1" l="1"/>
  <c r="B335" i="1"/>
  <c r="A337" i="1" l="1"/>
  <c r="B336" i="1"/>
  <c r="A338" i="1" l="1"/>
  <c r="B337" i="1"/>
  <c r="A339" i="1" l="1"/>
  <c r="B338" i="1"/>
  <c r="A340" i="1" l="1"/>
  <c r="B339" i="1"/>
  <c r="A341" i="1" l="1"/>
  <c r="B340" i="1"/>
  <c r="A342" i="1" l="1"/>
  <c r="B341" i="1"/>
  <c r="A343" i="1" l="1"/>
  <c r="B342" i="1"/>
  <c r="A344" i="1" l="1"/>
  <c r="B343" i="1"/>
  <c r="A345" i="1" l="1"/>
  <c r="B344" i="1"/>
  <c r="A346" i="1" l="1"/>
  <c r="B345" i="1"/>
  <c r="A347" i="1" l="1"/>
  <c r="B346" i="1"/>
  <c r="A348" i="1" l="1"/>
  <c r="B347" i="1"/>
  <c r="A349" i="1" l="1"/>
  <c r="B348" i="1"/>
  <c r="A350" i="1" l="1"/>
  <c r="B349" i="1"/>
  <c r="A351" i="1" l="1"/>
  <c r="B350" i="1"/>
  <c r="A352" i="1" l="1"/>
  <c r="B351" i="1"/>
  <c r="A353" i="1" l="1"/>
  <c r="B352" i="1"/>
  <c r="A354" i="1" l="1"/>
  <c r="B353" i="1"/>
  <c r="A355" i="1" l="1"/>
  <c r="B354" i="1"/>
  <c r="A356" i="1" l="1"/>
  <c r="B355" i="1"/>
  <c r="A357" i="1" l="1"/>
  <c r="B356" i="1"/>
  <c r="A358" i="1" l="1"/>
  <c r="B357" i="1"/>
  <c r="A359" i="1" l="1"/>
  <c r="B358" i="1"/>
  <c r="A360" i="1" l="1"/>
  <c r="B359" i="1"/>
  <c r="A361" i="1" l="1"/>
  <c r="B360" i="1"/>
  <c r="A362" i="1" l="1"/>
  <c r="B361" i="1"/>
  <c r="A363" i="1" l="1"/>
  <c r="B362" i="1"/>
  <c r="A364" i="1" l="1"/>
  <c r="B363" i="1"/>
  <c r="A365" i="1" l="1"/>
  <c r="B364" i="1"/>
  <c r="A366" i="1" l="1"/>
  <c r="B365" i="1"/>
  <c r="A367" i="1" l="1"/>
  <c r="B366" i="1"/>
  <c r="A368" i="1" l="1"/>
  <c r="B367" i="1"/>
  <c r="A369" i="1" l="1"/>
  <c r="B368" i="1"/>
  <c r="A370" i="1" l="1"/>
  <c r="B369" i="1"/>
  <c r="A371" i="1" l="1"/>
  <c r="B370" i="1"/>
  <c r="A372" i="1" l="1"/>
  <c r="B371" i="1"/>
  <c r="A373" i="1" l="1"/>
  <c r="B372" i="1"/>
  <c r="A374" i="1" l="1"/>
  <c r="B373" i="1"/>
  <c r="A375" i="1" l="1"/>
  <c r="B374" i="1"/>
  <c r="A376" i="1" l="1"/>
  <c r="B375" i="1"/>
  <c r="A377" i="1" l="1"/>
  <c r="B376" i="1"/>
  <c r="A378" i="1" l="1"/>
  <c r="B377" i="1"/>
  <c r="A379" i="1" l="1"/>
  <c r="B378" i="1"/>
  <c r="A380" i="1" l="1"/>
  <c r="B379" i="1"/>
  <c r="A381" i="1" l="1"/>
  <c r="B380" i="1"/>
  <c r="A382" i="1" l="1"/>
  <c r="B382" i="1" s="1"/>
  <c r="B381" i="1"/>
</calcChain>
</file>

<file path=xl/sharedStrings.xml><?xml version="1.0" encoding="utf-8"?>
<sst xmlns="http://schemas.openxmlformats.org/spreadsheetml/2006/main" count="251" uniqueCount="181">
  <si>
    <t>E =</t>
  </si>
  <si>
    <t>b =</t>
  </si>
  <si>
    <t>ft =</t>
  </si>
  <si>
    <t>eps,0 =</t>
  </si>
  <si>
    <t>Linear compression</t>
  </si>
  <si>
    <t>Linear tension</t>
  </si>
  <si>
    <t>Softening</t>
  </si>
  <si>
    <t>Tension unloading 1</t>
  </si>
  <si>
    <t>Etan,1 =</t>
  </si>
  <si>
    <t>Linear in compression</t>
  </si>
  <si>
    <t>Tension reloading 1</t>
  </si>
  <si>
    <t>Tension unloading 2</t>
  </si>
  <si>
    <t>Etan,2 =</t>
  </si>
  <si>
    <t>Tension reloading 2</t>
  </si>
  <si>
    <t>fc</t>
  </si>
  <si>
    <t>rat</t>
  </si>
  <si>
    <t>fcu</t>
  </si>
  <si>
    <t>ft</t>
  </si>
  <si>
    <t>E0</t>
  </si>
  <si>
    <t>epsct0</t>
  </si>
  <si>
    <t>epsc0</t>
  </si>
  <si>
    <t>epsctu</t>
  </si>
  <si>
    <t>epscu</t>
  </si>
  <si>
    <t>Ets</t>
  </si>
  <si>
    <r>
      <t>f</t>
    </r>
    <r>
      <rPr>
        <b/>
        <i/>
        <vertAlign val="subscript"/>
        <sz val="10"/>
        <color theme="1"/>
        <rFont val="Arial"/>
        <family val="2"/>
      </rPr>
      <t>cm</t>
    </r>
    <r>
      <rPr>
        <b/>
        <i/>
        <sz val="10"/>
        <color theme="1"/>
        <rFont val="Arial"/>
        <family val="2"/>
      </rPr>
      <t xml:space="preserve"> =</t>
    </r>
  </si>
  <si>
    <r>
      <t>α</t>
    </r>
    <r>
      <rPr>
        <b/>
        <i/>
        <vertAlign val="subscript"/>
        <sz val="10"/>
        <color theme="1"/>
        <rFont val="Arial"/>
        <family val="2"/>
      </rPr>
      <t>ds1</t>
    </r>
    <r>
      <rPr>
        <b/>
        <i/>
        <sz val="10"/>
        <color theme="1"/>
        <rFont val="Arial"/>
        <family val="2"/>
      </rPr>
      <t xml:space="preserve"> =</t>
    </r>
  </si>
  <si>
    <r>
      <t>α</t>
    </r>
    <r>
      <rPr>
        <b/>
        <i/>
        <vertAlign val="subscript"/>
        <sz val="10"/>
        <color theme="1"/>
        <rFont val="Arial"/>
        <family val="2"/>
      </rPr>
      <t>ds2</t>
    </r>
    <r>
      <rPr>
        <b/>
        <i/>
        <sz val="10"/>
        <color theme="1"/>
        <rFont val="Arial"/>
        <family val="2"/>
      </rPr>
      <t xml:space="preserve"> =</t>
    </r>
  </si>
  <si>
    <r>
      <rPr>
        <b/>
        <sz val="10"/>
        <color theme="1"/>
        <rFont val="Calibri"/>
        <family val="2"/>
      </rPr>
      <t>ε</t>
    </r>
    <r>
      <rPr>
        <b/>
        <i/>
        <vertAlign val="subscript"/>
        <sz val="10"/>
        <color theme="1"/>
        <rFont val="Arial"/>
        <family val="2"/>
      </rPr>
      <t>cds0</t>
    </r>
    <r>
      <rPr>
        <b/>
        <i/>
        <sz val="10"/>
        <color theme="1"/>
        <rFont val="Arial"/>
        <family val="2"/>
      </rPr>
      <t xml:space="preserve"> =</t>
    </r>
  </si>
  <si>
    <r>
      <rPr>
        <b/>
        <sz val="10"/>
        <color theme="1"/>
        <rFont val="Calibri"/>
        <family val="2"/>
      </rPr>
      <t>β</t>
    </r>
    <r>
      <rPr>
        <b/>
        <i/>
        <vertAlign val="subscript"/>
        <sz val="10"/>
        <color theme="1"/>
        <rFont val="Arial"/>
        <family val="2"/>
      </rPr>
      <t>s1</t>
    </r>
    <r>
      <rPr>
        <b/>
        <i/>
        <sz val="10"/>
        <color theme="1"/>
        <rFont val="Arial"/>
        <family val="2"/>
      </rPr>
      <t xml:space="preserve"> =</t>
    </r>
  </si>
  <si>
    <r>
      <rPr>
        <b/>
        <i/>
        <sz val="10"/>
        <color theme="1"/>
        <rFont val="Calibri"/>
        <family val="2"/>
      </rPr>
      <t>h</t>
    </r>
    <r>
      <rPr>
        <b/>
        <i/>
        <vertAlign val="subscript"/>
        <sz val="10"/>
        <color theme="1"/>
        <rFont val="Arial"/>
        <family val="2"/>
      </rPr>
      <t>0</t>
    </r>
    <r>
      <rPr>
        <b/>
        <i/>
        <sz val="10"/>
        <color theme="1"/>
        <rFont val="Arial"/>
        <family val="2"/>
      </rPr>
      <t xml:space="preserve"> =</t>
    </r>
  </si>
  <si>
    <r>
      <t>α</t>
    </r>
    <r>
      <rPr>
        <b/>
        <i/>
        <vertAlign val="subscript"/>
        <sz val="10"/>
        <color theme="1"/>
        <rFont val="Arial"/>
        <family val="2"/>
      </rPr>
      <t>bs</t>
    </r>
    <r>
      <rPr>
        <b/>
        <i/>
        <sz val="10"/>
        <color theme="1"/>
        <rFont val="Arial"/>
        <family val="2"/>
      </rPr>
      <t xml:space="preserve"> =</t>
    </r>
  </si>
  <si>
    <r>
      <rPr>
        <b/>
        <sz val="10"/>
        <color theme="1"/>
        <rFont val="Calibri"/>
        <family val="2"/>
      </rPr>
      <t>ε</t>
    </r>
    <r>
      <rPr>
        <b/>
        <i/>
        <vertAlign val="subscript"/>
        <sz val="10"/>
        <color theme="1"/>
        <rFont val="Arial"/>
        <family val="2"/>
      </rPr>
      <t>cbs0</t>
    </r>
    <r>
      <rPr>
        <b/>
        <i/>
        <sz val="10"/>
        <color theme="1"/>
        <rFont val="Arial"/>
        <family val="2"/>
      </rPr>
      <t xml:space="preserve"> =</t>
    </r>
  </si>
  <si>
    <t>mm</t>
  </si>
  <si>
    <t>MPa</t>
  </si>
  <si>
    <t>– Mean 28-day cylinder compressive strength</t>
  </si>
  <si>
    <r>
      <t xml:space="preserve">– Depends on cement. 32.5N </t>
    </r>
    <r>
      <rPr>
        <b/>
        <i/>
        <sz val="10"/>
        <color theme="1"/>
        <rFont val="Arial"/>
        <family val="2"/>
      </rPr>
      <t>800</t>
    </r>
    <r>
      <rPr>
        <i/>
        <sz val="10"/>
        <color theme="1"/>
        <rFont val="Arial"/>
        <family val="2"/>
      </rPr>
      <t xml:space="preserve">; 32.5R&amp;42.5N </t>
    </r>
    <r>
      <rPr>
        <b/>
        <i/>
        <sz val="10"/>
        <color theme="1"/>
        <rFont val="Arial"/>
        <family val="2"/>
      </rPr>
      <t>700</t>
    </r>
    <r>
      <rPr>
        <i/>
        <sz val="10"/>
        <color theme="1"/>
        <rFont val="Arial"/>
        <family val="2"/>
      </rPr>
      <t xml:space="preserve">; 42.5R&amp;52.5N&amp;52.5R </t>
    </r>
    <r>
      <rPr>
        <b/>
        <i/>
        <sz val="10"/>
        <color theme="1"/>
        <rFont val="Arial"/>
        <family val="2"/>
      </rPr>
      <t>600</t>
    </r>
  </si>
  <si>
    <r>
      <t xml:space="preserve">– Depends on cement. 32.5N </t>
    </r>
    <r>
      <rPr>
        <b/>
        <i/>
        <sz val="10"/>
        <color theme="1"/>
        <rFont val="Arial"/>
        <family val="2"/>
      </rPr>
      <t>3</t>
    </r>
    <r>
      <rPr>
        <i/>
        <sz val="10"/>
        <color theme="1"/>
        <rFont val="Arial"/>
        <family val="2"/>
      </rPr>
      <t xml:space="preserve">; 32.5R&amp;42.5N </t>
    </r>
    <r>
      <rPr>
        <b/>
        <i/>
        <sz val="10"/>
        <color theme="1"/>
        <rFont val="Arial"/>
        <family val="2"/>
      </rPr>
      <t>4</t>
    </r>
    <r>
      <rPr>
        <i/>
        <sz val="10"/>
        <color theme="1"/>
        <rFont val="Arial"/>
        <family val="2"/>
      </rPr>
      <t xml:space="preserve">; 42.5R&amp;52.5N&amp;52.5R </t>
    </r>
    <r>
      <rPr>
        <b/>
        <i/>
        <sz val="10"/>
        <color theme="1"/>
        <rFont val="Arial"/>
        <family val="2"/>
      </rPr>
      <t>6</t>
    </r>
  </si>
  <si>
    <r>
      <t xml:space="preserve">– Depends on cement. 32.5N </t>
    </r>
    <r>
      <rPr>
        <b/>
        <i/>
        <sz val="10"/>
        <color theme="1"/>
        <rFont val="Arial"/>
        <family val="2"/>
      </rPr>
      <t>0.013</t>
    </r>
    <r>
      <rPr>
        <i/>
        <sz val="10"/>
        <color theme="1"/>
        <rFont val="Arial"/>
        <family val="2"/>
      </rPr>
      <t xml:space="preserve">; 32.5R&amp;42.5N </t>
    </r>
    <r>
      <rPr>
        <b/>
        <i/>
        <sz val="10"/>
        <color theme="1"/>
        <rFont val="Arial"/>
        <family val="2"/>
      </rPr>
      <t>0.012</t>
    </r>
    <r>
      <rPr>
        <i/>
        <sz val="10"/>
        <color theme="1"/>
        <rFont val="Arial"/>
        <family val="2"/>
      </rPr>
      <t xml:space="preserve">; 42.5R&amp;52.5N&amp;52.5R </t>
    </r>
    <r>
      <rPr>
        <b/>
        <i/>
        <sz val="10"/>
        <color theme="1"/>
        <rFont val="Arial"/>
        <family val="2"/>
      </rPr>
      <t>0.012</t>
    </r>
  </si>
  <si>
    <t>– Notional size = 2*A/O</t>
  </si>
  <si>
    <t>h =</t>
  </si>
  <si>
    <r>
      <rPr>
        <i/>
        <sz val="10"/>
        <color theme="1"/>
        <rFont val="Calibri"/>
        <family val="2"/>
      </rPr>
      <t>h</t>
    </r>
    <r>
      <rPr>
        <i/>
        <vertAlign val="subscript"/>
        <sz val="10"/>
        <color theme="1"/>
        <rFont val="Arial"/>
        <family val="2"/>
      </rPr>
      <t>0</t>
    </r>
    <r>
      <rPr>
        <i/>
        <sz val="10"/>
        <color theme="1"/>
        <rFont val="Arial"/>
        <family val="2"/>
      </rPr>
      <t xml:space="preserve"> =</t>
    </r>
  </si>
  <si>
    <t>Rectangular section</t>
  </si>
  <si>
    <t>Circular section</t>
  </si>
  <si>
    <t>D =</t>
  </si>
  <si>
    <t>T =</t>
  </si>
  <si>
    <r>
      <rPr>
        <sz val="10"/>
        <color theme="1"/>
        <rFont val="Arial"/>
        <family val="2"/>
      </rPr>
      <t>º</t>
    </r>
    <r>
      <rPr>
        <i/>
        <sz val="10"/>
        <color theme="1"/>
        <rFont val="Arial"/>
        <family val="2"/>
      </rPr>
      <t>C</t>
    </r>
  </si>
  <si>
    <t>– Average temperature over entire analysis period</t>
  </si>
  <si>
    <t>RH =</t>
  </si>
  <si>
    <t>%</t>
  </si>
  <si>
    <t>– Average relative humidity over entire analysis period</t>
  </si>
  <si>
    <r>
      <t>t – t</t>
    </r>
    <r>
      <rPr>
        <b/>
        <i/>
        <vertAlign val="subscript"/>
        <sz val="10"/>
        <color theme="1"/>
        <rFont val="Arial"/>
        <family val="2"/>
      </rPr>
      <t xml:space="preserve">s </t>
    </r>
    <r>
      <rPr>
        <b/>
        <i/>
        <sz val="10"/>
        <color theme="1"/>
        <rFont val="Arial"/>
        <family val="2"/>
      </rPr>
      <t>=</t>
    </r>
  </si>
  <si>
    <t>days</t>
  </si>
  <si>
    <t>– Time at which shrinkage is calculated</t>
  </si>
  <si>
    <r>
      <rPr>
        <b/>
        <sz val="10"/>
        <color theme="1"/>
        <rFont val="Calibri"/>
        <family val="2"/>
      </rPr>
      <t>β</t>
    </r>
    <r>
      <rPr>
        <b/>
        <i/>
        <vertAlign val="subscript"/>
        <sz val="10"/>
        <color theme="1"/>
        <rFont val="Arial"/>
        <family val="2"/>
      </rPr>
      <t>as</t>
    </r>
    <r>
      <rPr>
        <b/>
        <i/>
        <sz val="10"/>
        <color theme="1"/>
        <rFont val="Arial"/>
        <family val="2"/>
      </rPr>
      <t xml:space="preserve"> (t) =</t>
    </r>
  </si>
  <si>
    <r>
      <rPr>
        <b/>
        <sz val="10"/>
        <color theme="1"/>
        <rFont val="Calibri"/>
        <family val="2"/>
      </rPr>
      <t>β</t>
    </r>
    <r>
      <rPr>
        <b/>
        <i/>
        <vertAlign val="subscript"/>
        <sz val="10"/>
        <color theme="1"/>
        <rFont val="Arial"/>
        <family val="2"/>
      </rPr>
      <t xml:space="preserve">RH </t>
    </r>
    <r>
      <rPr>
        <b/>
        <i/>
        <sz val="10"/>
        <color theme="1"/>
        <rFont val="Arial"/>
        <family val="2"/>
      </rPr>
      <t>=</t>
    </r>
  </si>
  <si>
    <r>
      <rPr>
        <b/>
        <sz val="10"/>
        <color theme="1"/>
        <rFont val="Calibri"/>
        <family val="2"/>
      </rPr>
      <t>β</t>
    </r>
    <r>
      <rPr>
        <b/>
        <i/>
        <vertAlign val="subscript"/>
        <sz val="10"/>
        <color theme="1"/>
        <rFont val="Arial"/>
        <family val="2"/>
      </rPr>
      <t>ds</t>
    </r>
    <r>
      <rPr>
        <b/>
        <i/>
        <sz val="10"/>
        <color theme="1"/>
        <rFont val="Arial"/>
        <family val="2"/>
      </rPr>
      <t xml:space="preserve"> (t-t</t>
    </r>
    <r>
      <rPr>
        <b/>
        <i/>
        <vertAlign val="subscript"/>
        <sz val="10"/>
        <color theme="1"/>
        <rFont val="Arial"/>
        <family val="2"/>
      </rPr>
      <t>s</t>
    </r>
    <r>
      <rPr>
        <b/>
        <i/>
        <sz val="10"/>
        <color theme="1"/>
        <rFont val="Arial"/>
        <family val="2"/>
      </rPr>
      <t>) =</t>
    </r>
  </si>
  <si>
    <r>
      <rPr>
        <b/>
        <sz val="10"/>
        <color theme="1"/>
        <rFont val="Calibri"/>
        <family val="2"/>
      </rPr>
      <t>ε</t>
    </r>
    <r>
      <rPr>
        <b/>
        <i/>
        <vertAlign val="subscript"/>
        <sz val="10"/>
        <color theme="1"/>
        <rFont val="Arial"/>
        <family val="2"/>
      </rPr>
      <t>cbs</t>
    </r>
    <r>
      <rPr>
        <b/>
        <i/>
        <sz val="10"/>
        <color theme="1"/>
        <rFont val="Arial"/>
        <family val="2"/>
      </rPr>
      <t xml:space="preserve"> (t) =</t>
    </r>
  </si>
  <si>
    <t>SHRINKAGE</t>
  </si>
  <si>
    <t>$epsba</t>
  </si>
  <si>
    <t>$epsbb</t>
  </si>
  <si>
    <t>$epsda</t>
  </si>
  <si>
    <t>$epsdb</t>
  </si>
  <si>
    <t>INPUT FOR OS</t>
  </si>
  <si>
    <t>– This is a free fitting parameter; default value is 1.0</t>
  </si>
  <si>
    <r>
      <rPr>
        <b/>
        <sz val="10"/>
        <color theme="1"/>
        <rFont val="Calibri"/>
        <family val="2"/>
      </rPr>
      <t>ξ</t>
    </r>
    <r>
      <rPr>
        <b/>
        <i/>
        <vertAlign val="subscript"/>
        <sz val="10"/>
        <color theme="1"/>
        <rFont val="Arial"/>
        <family val="2"/>
      </rPr>
      <t>cbs,2</t>
    </r>
    <r>
      <rPr>
        <b/>
        <i/>
        <sz val="11.5"/>
        <color theme="1"/>
        <rFont val="Arial"/>
        <family val="2"/>
      </rPr>
      <t xml:space="preserve"> </t>
    </r>
    <r>
      <rPr>
        <b/>
        <i/>
        <sz val="10"/>
        <color theme="1"/>
        <rFont val="Arial"/>
        <family val="2"/>
      </rPr>
      <t>=</t>
    </r>
  </si>
  <si>
    <r>
      <rPr>
        <b/>
        <sz val="10"/>
        <color theme="1"/>
        <rFont val="Calibri"/>
        <family val="2"/>
      </rPr>
      <t>ξ</t>
    </r>
    <r>
      <rPr>
        <b/>
        <i/>
        <vertAlign val="subscript"/>
        <sz val="10"/>
        <color theme="1"/>
        <rFont val="Arial"/>
        <family val="2"/>
      </rPr>
      <t>cds,2</t>
    </r>
    <r>
      <rPr>
        <b/>
        <i/>
        <sz val="11.5"/>
        <color theme="1"/>
        <rFont val="Arial"/>
        <family val="2"/>
      </rPr>
      <t xml:space="preserve"> </t>
    </r>
    <r>
      <rPr>
        <b/>
        <i/>
        <sz val="10"/>
        <color theme="1"/>
        <rFont val="Arial"/>
        <family val="2"/>
      </rPr>
      <t>=</t>
    </r>
  </si>
  <si>
    <t>RCA =</t>
  </si>
  <si>
    <t>– Percentage of coarse recycled aggregate concrete in the mixture</t>
  </si>
  <si>
    <r>
      <rPr>
        <b/>
        <sz val="10"/>
        <color theme="1"/>
        <rFont val="Calibri"/>
        <family val="2"/>
      </rPr>
      <t>ξ</t>
    </r>
    <r>
      <rPr>
        <b/>
        <i/>
        <vertAlign val="subscript"/>
        <sz val="10"/>
        <color theme="1"/>
        <rFont val="Arial"/>
        <family val="2"/>
      </rPr>
      <t>cs,RAC</t>
    </r>
    <r>
      <rPr>
        <b/>
        <i/>
        <sz val="11.5"/>
        <color theme="1"/>
        <rFont val="Arial"/>
        <family val="2"/>
      </rPr>
      <t xml:space="preserve"> </t>
    </r>
    <r>
      <rPr>
        <b/>
        <i/>
        <sz val="10"/>
        <color theme="1"/>
        <rFont val="Arial"/>
        <family val="2"/>
      </rPr>
      <t>=</t>
    </r>
  </si>
  <si>
    <t>– Correction coefficient for Recycled Aggregate Concrete</t>
  </si>
  <si>
    <t>SHRINKAGE AND CREEP ACCORDING TO MODEL CODE 2010</t>
  </si>
  <si>
    <r>
      <t>β</t>
    </r>
    <r>
      <rPr>
        <b/>
        <i/>
        <vertAlign val="subscript"/>
        <sz val="10"/>
        <color theme="1"/>
        <rFont val="Arial"/>
        <family val="2"/>
      </rPr>
      <t xml:space="preserve">h </t>
    </r>
    <r>
      <rPr>
        <b/>
        <i/>
        <sz val="10"/>
        <color theme="1"/>
        <rFont val="Arial"/>
        <family val="2"/>
      </rPr>
      <t>=</t>
    </r>
  </si>
  <si>
    <r>
      <rPr>
        <b/>
        <i/>
        <sz val="10"/>
        <color theme="1"/>
        <rFont val="Arial"/>
        <family val="2"/>
      </rPr>
      <t>α</t>
    </r>
    <r>
      <rPr>
        <b/>
        <vertAlign val="subscript"/>
        <sz val="10"/>
        <color theme="1"/>
        <rFont val="Arial"/>
        <family val="2"/>
      </rPr>
      <t>fcm</t>
    </r>
    <r>
      <rPr>
        <b/>
        <sz val="10"/>
        <color theme="1"/>
        <rFont val="Arial"/>
        <family val="2"/>
      </rPr>
      <t xml:space="preserve"> =</t>
    </r>
  </si>
  <si>
    <r>
      <t>t</t>
    </r>
    <r>
      <rPr>
        <b/>
        <i/>
        <vertAlign val="subscript"/>
        <sz val="10"/>
        <color theme="1"/>
        <rFont val="Arial"/>
        <family val="2"/>
      </rPr>
      <t xml:space="preserve">0 </t>
    </r>
    <r>
      <rPr>
        <b/>
        <i/>
        <sz val="10"/>
        <color theme="1"/>
        <rFont val="Arial"/>
        <family val="2"/>
      </rPr>
      <t>=</t>
    </r>
  </si>
  <si>
    <r>
      <t>t – t</t>
    </r>
    <r>
      <rPr>
        <b/>
        <i/>
        <vertAlign val="subscript"/>
        <sz val="10"/>
        <color theme="1"/>
        <rFont val="Arial"/>
        <family val="2"/>
      </rPr>
      <t xml:space="preserve">0 </t>
    </r>
    <r>
      <rPr>
        <b/>
        <i/>
        <sz val="10"/>
        <color theme="1"/>
        <rFont val="Arial"/>
        <family val="2"/>
      </rPr>
      <t>=</t>
    </r>
  </si>
  <si>
    <r>
      <t>t</t>
    </r>
    <r>
      <rPr>
        <b/>
        <i/>
        <vertAlign val="subscript"/>
        <sz val="10"/>
        <color theme="1"/>
        <rFont val="Arial"/>
        <family val="2"/>
      </rPr>
      <t xml:space="preserve">s </t>
    </r>
    <r>
      <rPr>
        <b/>
        <i/>
        <sz val="10"/>
        <color theme="1"/>
        <rFont val="Arial"/>
        <family val="2"/>
      </rPr>
      <t>=</t>
    </r>
  </si>
  <si>
    <t>– Time at start of drying</t>
  </si>
  <si>
    <t>t =</t>
  </si>
  <si>
    <t>– Time at analysis</t>
  </si>
  <si>
    <r>
      <t>β</t>
    </r>
    <r>
      <rPr>
        <b/>
        <i/>
        <vertAlign val="subscript"/>
        <sz val="10"/>
        <color theme="1"/>
        <rFont val="Arial"/>
        <family val="2"/>
      </rPr>
      <t>bc</t>
    </r>
    <r>
      <rPr>
        <b/>
        <i/>
        <sz val="10"/>
        <color theme="1"/>
        <rFont val="Arial"/>
        <family val="2"/>
      </rPr>
      <t>(f</t>
    </r>
    <r>
      <rPr>
        <b/>
        <i/>
        <vertAlign val="subscript"/>
        <sz val="10"/>
        <color theme="1"/>
        <rFont val="Arial"/>
        <family val="2"/>
      </rPr>
      <t>cm</t>
    </r>
    <r>
      <rPr>
        <b/>
        <i/>
        <sz val="10"/>
        <color theme="1"/>
        <rFont val="Arial"/>
        <family val="2"/>
      </rPr>
      <t>) =</t>
    </r>
  </si>
  <si>
    <r>
      <rPr>
        <b/>
        <sz val="10"/>
        <color theme="1"/>
        <rFont val="Calibri"/>
        <family val="2"/>
      </rPr>
      <t>β</t>
    </r>
    <r>
      <rPr>
        <b/>
        <i/>
        <vertAlign val="subscript"/>
        <sz val="10"/>
        <color theme="1"/>
        <rFont val="Arial"/>
        <family val="2"/>
      </rPr>
      <t>bc</t>
    </r>
    <r>
      <rPr>
        <b/>
        <i/>
        <sz val="10"/>
        <color theme="1"/>
        <rFont val="Arial"/>
        <family val="2"/>
      </rPr>
      <t xml:space="preserve"> (t,t</t>
    </r>
    <r>
      <rPr>
        <b/>
        <i/>
        <vertAlign val="subscript"/>
        <sz val="10"/>
        <color theme="1"/>
        <rFont val="Arial"/>
        <family val="2"/>
      </rPr>
      <t>0</t>
    </r>
    <r>
      <rPr>
        <b/>
        <i/>
        <sz val="10"/>
        <color theme="1"/>
        <rFont val="Arial"/>
        <family val="2"/>
      </rPr>
      <t>) =</t>
    </r>
  </si>
  <si>
    <r>
      <t>φ</t>
    </r>
    <r>
      <rPr>
        <b/>
        <i/>
        <vertAlign val="subscript"/>
        <sz val="10"/>
        <color theme="1"/>
        <rFont val="Arial"/>
        <family val="2"/>
      </rPr>
      <t xml:space="preserve">bc </t>
    </r>
    <r>
      <rPr>
        <b/>
        <i/>
        <sz val="10"/>
        <color theme="1"/>
        <rFont val="Arial"/>
        <family val="2"/>
      </rPr>
      <t>(t,t</t>
    </r>
    <r>
      <rPr>
        <b/>
        <i/>
        <vertAlign val="subscript"/>
        <sz val="10"/>
        <color theme="1"/>
        <rFont val="Arial"/>
        <family val="2"/>
      </rPr>
      <t>0</t>
    </r>
    <r>
      <rPr>
        <b/>
        <i/>
        <sz val="10"/>
        <color theme="1"/>
        <rFont val="Arial"/>
        <family val="2"/>
      </rPr>
      <t>) =</t>
    </r>
  </si>
  <si>
    <r>
      <t>β</t>
    </r>
    <r>
      <rPr>
        <b/>
        <i/>
        <vertAlign val="subscript"/>
        <sz val="10"/>
        <color theme="1"/>
        <rFont val="Arial"/>
        <family val="2"/>
      </rPr>
      <t>dc</t>
    </r>
    <r>
      <rPr>
        <b/>
        <i/>
        <sz val="10"/>
        <color theme="1"/>
        <rFont val="Arial"/>
        <family val="2"/>
      </rPr>
      <t>(f</t>
    </r>
    <r>
      <rPr>
        <b/>
        <i/>
        <vertAlign val="subscript"/>
        <sz val="10"/>
        <color theme="1"/>
        <rFont val="Arial"/>
        <family val="2"/>
      </rPr>
      <t>cm</t>
    </r>
    <r>
      <rPr>
        <b/>
        <i/>
        <sz val="10"/>
        <color theme="1"/>
        <rFont val="Arial"/>
        <family val="2"/>
      </rPr>
      <t>) =</t>
    </r>
  </si>
  <si>
    <r>
      <rPr>
        <b/>
        <sz val="10"/>
        <color theme="1"/>
        <rFont val="Calibri"/>
        <family val="2"/>
      </rPr>
      <t>β</t>
    </r>
    <r>
      <rPr>
        <b/>
        <i/>
        <sz val="10"/>
        <color theme="1"/>
        <rFont val="Arial"/>
        <family val="2"/>
      </rPr>
      <t>(RH) =</t>
    </r>
  </si>
  <si>
    <r>
      <rPr>
        <b/>
        <sz val="10"/>
        <color theme="1"/>
        <rFont val="Calibri"/>
        <family val="2"/>
      </rPr>
      <t>β</t>
    </r>
    <r>
      <rPr>
        <b/>
        <i/>
        <vertAlign val="subscript"/>
        <sz val="10"/>
        <color theme="1"/>
        <rFont val="Arial"/>
        <family val="2"/>
      </rPr>
      <t>dc</t>
    </r>
    <r>
      <rPr>
        <b/>
        <i/>
        <sz val="10"/>
        <color theme="1"/>
        <rFont val="Arial"/>
        <family val="2"/>
      </rPr>
      <t xml:space="preserve"> (t</t>
    </r>
    <r>
      <rPr>
        <b/>
        <i/>
        <vertAlign val="subscript"/>
        <sz val="10"/>
        <color theme="1"/>
        <rFont val="Arial"/>
        <family val="2"/>
      </rPr>
      <t>0</t>
    </r>
    <r>
      <rPr>
        <b/>
        <i/>
        <sz val="10"/>
        <color theme="1"/>
        <rFont val="Arial"/>
        <family val="2"/>
      </rPr>
      <t>) =</t>
    </r>
  </si>
  <si>
    <r>
      <rPr>
        <b/>
        <sz val="10"/>
        <color theme="1"/>
        <rFont val="Calibri"/>
        <family val="2"/>
      </rPr>
      <t>β</t>
    </r>
    <r>
      <rPr>
        <b/>
        <i/>
        <vertAlign val="subscript"/>
        <sz val="10"/>
        <color theme="1"/>
        <rFont val="Arial"/>
        <family val="2"/>
      </rPr>
      <t>dc</t>
    </r>
    <r>
      <rPr>
        <b/>
        <i/>
        <sz val="10"/>
        <color theme="1"/>
        <rFont val="Arial"/>
        <family val="2"/>
      </rPr>
      <t xml:space="preserve"> (t,t</t>
    </r>
    <r>
      <rPr>
        <b/>
        <i/>
        <vertAlign val="subscript"/>
        <sz val="10"/>
        <color theme="1"/>
        <rFont val="Arial"/>
        <family val="2"/>
      </rPr>
      <t>0</t>
    </r>
    <r>
      <rPr>
        <b/>
        <i/>
        <sz val="10"/>
        <color theme="1"/>
        <rFont val="Arial"/>
        <family val="2"/>
      </rPr>
      <t>) =</t>
    </r>
  </si>
  <si>
    <r>
      <rPr>
        <b/>
        <sz val="10"/>
        <color theme="1"/>
        <rFont val="Calibri"/>
        <family val="2"/>
      </rPr>
      <t>γ</t>
    </r>
    <r>
      <rPr>
        <b/>
        <i/>
        <vertAlign val="subscript"/>
        <sz val="10"/>
        <color theme="1"/>
        <rFont val="Arial"/>
        <family val="2"/>
      </rPr>
      <t xml:space="preserve"> </t>
    </r>
    <r>
      <rPr>
        <b/>
        <i/>
        <sz val="10"/>
        <color theme="1"/>
        <rFont val="Arial"/>
        <family val="2"/>
      </rPr>
      <t>(t</t>
    </r>
    <r>
      <rPr>
        <b/>
        <i/>
        <vertAlign val="subscript"/>
        <sz val="10"/>
        <color theme="1"/>
        <rFont val="Arial"/>
        <family val="2"/>
      </rPr>
      <t>0</t>
    </r>
    <r>
      <rPr>
        <b/>
        <i/>
        <sz val="10"/>
        <color theme="1"/>
        <rFont val="Arial"/>
        <family val="2"/>
      </rPr>
      <t>) =</t>
    </r>
  </si>
  <si>
    <r>
      <t>φ</t>
    </r>
    <r>
      <rPr>
        <b/>
        <i/>
        <vertAlign val="subscript"/>
        <sz val="10"/>
        <color theme="1"/>
        <rFont val="Arial"/>
        <family val="2"/>
      </rPr>
      <t xml:space="preserve">dc </t>
    </r>
    <r>
      <rPr>
        <b/>
        <i/>
        <sz val="10"/>
        <color theme="1"/>
        <rFont val="Arial"/>
        <family val="2"/>
      </rPr>
      <t>(t,t</t>
    </r>
    <r>
      <rPr>
        <b/>
        <i/>
        <vertAlign val="subscript"/>
        <sz val="10"/>
        <color theme="1"/>
        <rFont val="Arial"/>
        <family val="2"/>
      </rPr>
      <t>0</t>
    </r>
    <r>
      <rPr>
        <b/>
        <i/>
        <sz val="10"/>
        <color theme="1"/>
        <rFont val="Arial"/>
        <family val="2"/>
      </rPr>
      <t>) =</t>
    </r>
  </si>
  <si>
    <r>
      <t>φ</t>
    </r>
    <r>
      <rPr>
        <b/>
        <i/>
        <vertAlign val="subscript"/>
        <sz val="10"/>
        <color theme="1"/>
        <rFont val="Arial"/>
        <family val="2"/>
      </rPr>
      <t xml:space="preserve"> </t>
    </r>
    <r>
      <rPr>
        <b/>
        <i/>
        <sz val="10"/>
        <color theme="1"/>
        <rFont val="Arial"/>
        <family val="2"/>
      </rPr>
      <t>(t,t</t>
    </r>
    <r>
      <rPr>
        <b/>
        <i/>
        <vertAlign val="subscript"/>
        <sz val="10"/>
        <color theme="1"/>
        <rFont val="Arial"/>
        <family val="2"/>
      </rPr>
      <t>0</t>
    </r>
    <r>
      <rPr>
        <b/>
        <i/>
        <sz val="10"/>
        <color theme="1"/>
        <rFont val="Arial"/>
        <family val="2"/>
      </rPr>
      <t>) =</t>
    </r>
  </si>
  <si>
    <t>CREEP</t>
  </si>
  <si>
    <t>$phiba</t>
  </si>
  <si>
    <t>$phibb</t>
  </si>
  <si>
    <t>$phida</t>
  </si>
  <si>
    <t>$phidb</t>
  </si>
  <si>
    <r>
      <rPr>
        <b/>
        <sz val="10"/>
        <color theme="1"/>
        <rFont val="Calibri"/>
        <family val="2"/>
      </rPr>
      <t>ξ</t>
    </r>
    <r>
      <rPr>
        <b/>
        <i/>
        <vertAlign val="subscript"/>
        <sz val="10"/>
        <color theme="1"/>
        <rFont val="Arial"/>
        <family val="2"/>
      </rPr>
      <t>cb,2</t>
    </r>
    <r>
      <rPr>
        <b/>
        <i/>
        <sz val="11.5"/>
        <color theme="1"/>
        <rFont val="Arial"/>
        <family val="2"/>
      </rPr>
      <t xml:space="preserve"> </t>
    </r>
    <r>
      <rPr>
        <b/>
        <i/>
        <sz val="10"/>
        <color theme="1"/>
        <rFont val="Arial"/>
        <family val="2"/>
      </rPr>
      <t>=</t>
    </r>
  </si>
  <si>
    <r>
      <rPr>
        <b/>
        <sz val="10"/>
        <color theme="1"/>
        <rFont val="Calibri"/>
        <family val="2"/>
      </rPr>
      <t>ξ</t>
    </r>
    <r>
      <rPr>
        <b/>
        <i/>
        <vertAlign val="subscript"/>
        <sz val="10"/>
        <color theme="1"/>
        <rFont val="Arial"/>
        <family val="2"/>
      </rPr>
      <t>cd,2</t>
    </r>
    <r>
      <rPr>
        <b/>
        <i/>
        <sz val="11.5"/>
        <color theme="1"/>
        <rFont val="Arial"/>
        <family val="2"/>
      </rPr>
      <t xml:space="preserve"> </t>
    </r>
    <r>
      <rPr>
        <b/>
        <i/>
        <sz val="10"/>
        <color theme="1"/>
        <rFont val="Arial"/>
        <family val="2"/>
      </rPr>
      <t>=</t>
    </r>
  </si>
  <si>
    <r>
      <rPr>
        <b/>
        <sz val="10"/>
        <color theme="1"/>
        <rFont val="Calibri"/>
        <family val="2"/>
      </rPr>
      <t>ξ</t>
    </r>
    <r>
      <rPr>
        <b/>
        <i/>
        <vertAlign val="subscript"/>
        <sz val="10"/>
        <color theme="1"/>
        <rFont val="Arial"/>
        <family val="2"/>
      </rPr>
      <t>cc,RAC</t>
    </r>
    <r>
      <rPr>
        <b/>
        <i/>
        <sz val="11.5"/>
        <color theme="1"/>
        <rFont val="Arial"/>
        <family val="2"/>
      </rPr>
      <t xml:space="preserve"> </t>
    </r>
    <r>
      <rPr>
        <b/>
        <i/>
        <sz val="10"/>
        <color theme="1"/>
        <rFont val="Arial"/>
        <family val="2"/>
      </rPr>
      <t>=</t>
    </r>
  </si>
  <si>
    <t>V/S =</t>
  </si>
  <si>
    <t>f =</t>
  </si>
  <si>
    <r>
      <rPr>
        <b/>
        <sz val="10"/>
        <color theme="1"/>
        <rFont val="Arial"/>
        <family val="2"/>
      </rPr>
      <t>ε</t>
    </r>
    <r>
      <rPr>
        <b/>
        <i/>
        <vertAlign val="subscript"/>
        <sz val="10"/>
        <color theme="1"/>
        <rFont val="Arial"/>
        <family val="2"/>
      </rPr>
      <t>shu,0</t>
    </r>
    <r>
      <rPr>
        <b/>
        <i/>
        <sz val="10"/>
        <color theme="1"/>
        <rFont val="Arial"/>
        <family val="2"/>
      </rPr>
      <t xml:space="preserve"> =</t>
    </r>
  </si>
  <si>
    <r>
      <rPr>
        <b/>
        <sz val="10"/>
        <color theme="1"/>
        <rFont val="Arial"/>
        <family val="2"/>
      </rPr>
      <t>γ</t>
    </r>
    <r>
      <rPr>
        <b/>
        <i/>
        <vertAlign val="subscript"/>
        <sz val="10"/>
        <color theme="1"/>
        <rFont val="Arial"/>
        <family val="2"/>
      </rPr>
      <t>sh,VS</t>
    </r>
  </si>
  <si>
    <t>s =</t>
  </si>
  <si>
    <r>
      <rPr>
        <b/>
        <sz val="10"/>
        <color theme="1"/>
        <rFont val="Arial"/>
        <family val="2"/>
      </rPr>
      <t>γ</t>
    </r>
    <r>
      <rPr>
        <b/>
        <i/>
        <vertAlign val="subscript"/>
        <sz val="10"/>
        <color theme="1"/>
        <rFont val="Arial"/>
        <family val="2"/>
      </rPr>
      <t xml:space="preserve">sh,s </t>
    </r>
    <r>
      <rPr>
        <b/>
        <i/>
        <sz val="10"/>
        <color theme="1"/>
        <rFont val="Arial"/>
        <family val="2"/>
      </rPr>
      <t>=</t>
    </r>
  </si>
  <si>
    <r>
      <t xml:space="preserve">ψ </t>
    </r>
    <r>
      <rPr>
        <b/>
        <sz val="10"/>
        <color theme="1"/>
        <rFont val="Arial"/>
        <family val="2"/>
      </rPr>
      <t>=</t>
    </r>
  </si>
  <si>
    <r>
      <t>γ</t>
    </r>
    <r>
      <rPr>
        <b/>
        <i/>
        <vertAlign val="subscript"/>
        <sz val="10"/>
        <color theme="1"/>
        <rFont val="Arial"/>
        <family val="2"/>
      </rPr>
      <t>sh,</t>
    </r>
    <r>
      <rPr>
        <b/>
        <vertAlign val="subscript"/>
        <sz val="10"/>
        <color theme="1"/>
        <rFont val="Arial"/>
        <family val="2"/>
      </rPr>
      <t>ψ</t>
    </r>
    <r>
      <rPr>
        <b/>
        <i/>
        <vertAlign val="subscript"/>
        <sz val="10"/>
        <color theme="1"/>
        <rFont val="Arial"/>
        <family val="2"/>
      </rPr>
      <t xml:space="preserve"> </t>
    </r>
    <r>
      <rPr>
        <b/>
        <i/>
        <sz val="10"/>
        <color theme="1"/>
        <rFont val="Arial"/>
        <family val="2"/>
      </rPr>
      <t>=</t>
    </r>
  </si>
  <si>
    <t>c =</t>
  </si>
  <si>
    <r>
      <t>γ</t>
    </r>
    <r>
      <rPr>
        <b/>
        <i/>
        <vertAlign val="subscript"/>
        <sz val="10"/>
        <color theme="1"/>
        <rFont val="Arial"/>
        <family val="2"/>
      </rPr>
      <t>sh,</t>
    </r>
    <r>
      <rPr>
        <b/>
        <vertAlign val="subscript"/>
        <sz val="10"/>
        <color theme="1"/>
        <rFont val="Arial"/>
        <family val="2"/>
      </rPr>
      <t>c</t>
    </r>
    <r>
      <rPr>
        <b/>
        <i/>
        <vertAlign val="subscript"/>
        <sz val="10"/>
        <color theme="1"/>
        <rFont val="Arial"/>
        <family val="2"/>
      </rPr>
      <t xml:space="preserve"> </t>
    </r>
    <r>
      <rPr>
        <b/>
        <i/>
        <sz val="10"/>
        <color theme="1"/>
        <rFont val="Arial"/>
        <family val="2"/>
      </rPr>
      <t>=</t>
    </r>
  </si>
  <si>
    <r>
      <t>α</t>
    </r>
    <r>
      <rPr>
        <b/>
        <i/>
        <vertAlign val="subscript"/>
        <sz val="10"/>
        <color theme="1"/>
        <rFont val="Arial"/>
        <family val="2"/>
      </rPr>
      <t>air</t>
    </r>
    <r>
      <rPr>
        <b/>
        <i/>
        <sz val="10"/>
        <color theme="1"/>
        <rFont val="Arial"/>
        <family val="2"/>
      </rPr>
      <t xml:space="preserve"> =</t>
    </r>
  </si>
  <si>
    <r>
      <t>γ</t>
    </r>
    <r>
      <rPr>
        <b/>
        <i/>
        <vertAlign val="subscript"/>
        <sz val="10"/>
        <color theme="1"/>
        <rFont val="Arial"/>
        <family val="2"/>
      </rPr>
      <t>sh,</t>
    </r>
    <r>
      <rPr>
        <b/>
        <vertAlign val="subscript"/>
        <sz val="10"/>
        <color theme="1"/>
        <rFont val="Arial"/>
        <family val="2"/>
      </rPr>
      <t>α</t>
    </r>
    <r>
      <rPr>
        <b/>
        <i/>
        <vertAlign val="subscript"/>
        <sz val="10"/>
        <color theme="1"/>
        <rFont val="Arial"/>
        <family val="2"/>
      </rPr>
      <t xml:space="preserve"> </t>
    </r>
    <r>
      <rPr>
        <b/>
        <i/>
        <sz val="10"/>
        <color theme="1"/>
        <rFont val="Arial"/>
        <family val="2"/>
      </rPr>
      <t>=</t>
    </r>
  </si>
  <si>
    <r>
      <t>γ</t>
    </r>
    <r>
      <rPr>
        <b/>
        <i/>
        <vertAlign val="subscript"/>
        <sz val="10"/>
        <color theme="1"/>
        <rFont val="Arial"/>
        <family val="2"/>
      </rPr>
      <t xml:space="preserve">sh </t>
    </r>
    <r>
      <rPr>
        <b/>
        <i/>
        <sz val="10"/>
        <color theme="1"/>
        <rFont val="Arial"/>
        <family val="2"/>
      </rPr>
      <t>=</t>
    </r>
  </si>
  <si>
    <r>
      <rPr>
        <b/>
        <sz val="10"/>
        <color theme="1"/>
        <rFont val="Arial"/>
        <family val="2"/>
      </rPr>
      <t>ε</t>
    </r>
    <r>
      <rPr>
        <b/>
        <i/>
        <vertAlign val="subscript"/>
        <sz val="10"/>
        <color theme="1"/>
        <rFont val="Arial"/>
        <family val="2"/>
      </rPr>
      <t>shu</t>
    </r>
    <r>
      <rPr>
        <b/>
        <i/>
        <sz val="10"/>
        <color theme="1"/>
        <rFont val="Arial"/>
        <family val="2"/>
      </rPr>
      <t xml:space="preserve"> =</t>
    </r>
  </si>
  <si>
    <t>– Default value of ultimate shrinkage strain; can be replaced with experimental value or fitted</t>
  </si>
  <si>
    <t>– Average thickness = Volume/Surface for member; = A/O for cross-section</t>
  </si>
  <si>
    <t>– Correction for member size</t>
  </si>
  <si>
    <t>– Correction for slump</t>
  </si>
  <si>
    <t>– Correction for fine aggregate content</t>
  </si>
  <si>
    <r>
      <t>kg/m</t>
    </r>
    <r>
      <rPr>
        <i/>
        <vertAlign val="superscript"/>
        <sz val="10"/>
        <color theme="1"/>
        <rFont val="Arial"/>
        <family val="2"/>
      </rPr>
      <t>3</t>
    </r>
  </si>
  <si>
    <r>
      <t xml:space="preserve">– Ratio of fine to total aggregate; </t>
    </r>
    <r>
      <rPr>
        <b/>
        <i/>
        <sz val="10"/>
        <color theme="1"/>
        <rFont val="Arial"/>
        <family val="2"/>
      </rPr>
      <t>leave blank if unknown</t>
    </r>
  </si>
  <si>
    <r>
      <t xml:space="preserve">– Cement content; </t>
    </r>
    <r>
      <rPr>
        <b/>
        <i/>
        <sz val="10"/>
        <color theme="1"/>
        <rFont val="Arial"/>
        <family val="2"/>
      </rPr>
      <t>leave blank if unknown</t>
    </r>
  </si>
  <si>
    <t>– Correction for cement content</t>
  </si>
  <si>
    <r>
      <t xml:space="preserve">– Air content in percent; </t>
    </r>
    <r>
      <rPr>
        <b/>
        <i/>
        <sz val="10"/>
        <color theme="1"/>
        <rFont val="Arial"/>
        <family val="2"/>
      </rPr>
      <t>leave blank if unknown</t>
    </r>
  </si>
  <si>
    <t>– Correction for air content</t>
  </si>
  <si>
    <t>– Global correction of ultimate shrinkage strain</t>
  </si>
  <si>
    <t>– Ultimate shrinkage strain</t>
  </si>
  <si>
    <t>– Relative humidity</t>
  </si>
  <si>
    <r>
      <t>γ</t>
    </r>
    <r>
      <rPr>
        <b/>
        <i/>
        <vertAlign val="subscript"/>
        <sz val="10"/>
        <color theme="1"/>
        <rFont val="Arial"/>
        <family val="2"/>
      </rPr>
      <t>sh,tc</t>
    </r>
    <r>
      <rPr>
        <b/>
        <i/>
        <sz val="10"/>
        <color theme="1"/>
        <rFont val="Arial"/>
        <family val="2"/>
      </rPr>
      <t xml:space="preserve"> =</t>
    </r>
  </si>
  <si>
    <t>– Correction for curing time</t>
  </si>
  <si>
    <r>
      <t>γ</t>
    </r>
    <r>
      <rPr>
        <b/>
        <i/>
        <vertAlign val="subscript"/>
        <sz val="10"/>
        <color theme="1"/>
        <rFont val="Arial"/>
        <family val="2"/>
      </rPr>
      <t>sh,RH</t>
    </r>
    <r>
      <rPr>
        <b/>
        <i/>
        <sz val="10"/>
        <color theme="1"/>
        <rFont val="Arial"/>
        <family val="2"/>
      </rPr>
      <t xml:space="preserve"> =</t>
    </r>
  </si>
  <si>
    <t>– Correction for relative humidity</t>
  </si>
  <si>
    <r>
      <rPr>
        <b/>
        <sz val="10"/>
        <color theme="1"/>
        <rFont val="Calibri"/>
        <family val="2"/>
      </rPr>
      <t>ε</t>
    </r>
    <r>
      <rPr>
        <b/>
        <i/>
        <vertAlign val="subscript"/>
        <sz val="10"/>
        <color theme="1"/>
        <rFont val="Arial"/>
        <family val="2"/>
      </rPr>
      <t>cds</t>
    </r>
    <r>
      <rPr>
        <b/>
        <i/>
        <sz val="10"/>
        <color theme="1"/>
        <rFont val="Arial"/>
        <family val="2"/>
      </rPr>
      <t xml:space="preserve"> (t,t</t>
    </r>
    <r>
      <rPr>
        <b/>
        <i/>
        <vertAlign val="subscript"/>
        <sz val="10"/>
        <color theme="1"/>
        <rFont val="Arial"/>
        <family val="2"/>
      </rPr>
      <t>s</t>
    </r>
    <r>
      <rPr>
        <b/>
        <i/>
        <sz val="10"/>
        <color theme="1"/>
        <rFont val="Arial"/>
        <family val="2"/>
      </rPr>
      <t>) =</t>
    </r>
  </si>
  <si>
    <r>
      <rPr>
        <b/>
        <sz val="10"/>
        <color theme="1"/>
        <rFont val="Calibri"/>
        <family val="2"/>
      </rPr>
      <t>ε</t>
    </r>
    <r>
      <rPr>
        <b/>
        <i/>
        <vertAlign val="subscript"/>
        <sz val="10"/>
        <color theme="1"/>
        <rFont val="Arial"/>
        <family val="2"/>
      </rPr>
      <t>cs</t>
    </r>
    <r>
      <rPr>
        <b/>
        <i/>
        <sz val="10"/>
        <color theme="1"/>
        <rFont val="Arial"/>
        <family val="2"/>
      </rPr>
      <t xml:space="preserve"> (t,t</t>
    </r>
    <r>
      <rPr>
        <b/>
        <i/>
        <vertAlign val="subscript"/>
        <sz val="10"/>
        <color theme="1"/>
        <rFont val="Arial"/>
        <family val="2"/>
      </rPr>
      <t>s</t>
    </r>
    <r>
      <rPr>
        <b/>
        <i/>
        <sz val="10"/>
        <color theme="1"/>
        <rFont val="Arial"/>
        <family val="2"/>
      </rPr>
      <t>) =</t>
    </r>
  </si>
  <si>
    <r>
      <rPr>
        <b/>
        <sz val="10"/>
        <color theme="1"/>
        <rFont val="Calibri"/>
        <family val="2"/>
      </rPr>
      <t>ε</t>
    </r>
    <r>
      <rPr>
        <b/>
        <i/>
        <vertAlign val="subscript"/>
        <sz val="10"/>
        <color theme="1"/>
        <rFont val="Arial"/>
        <family val="2"/>
      </rPr>
      <t>sh</t>
    </r>
    <r>
      <rPr>
        <b/>
        <i/>
        <sz val="10"/>
        <color theme="1"/>
        <rFont val="Arial"/>
        <family val="2"/>
      </rPr>
      <t xml:space="preserve"> (t,t</t>
    </r>
    <r>
      <rPr>
        <b/>
        <i/>
        <vertAlign val="subscript"/>
        <sz val="10"/>
        <color theme="1"/>
        <rFont val="Arial"/>
        <family val="2"/>
      </rPr>
      <t>s</t>
    </r>
    <r>
      <rPr>
        <b/>
        <i/>
        <sz val="10"/>
        <color theme="1"/>
        <rFont val="Arial"/>
        <family val="2"/>
      </rPr>
      <t>) =</t>
    </r>
  </si>
  <si>
    <r>
      <rPr>
        <i/>
        <sz val="10"/>
        <color theme="1"/>
        <rFont val="Calibri"/>
        <family val="2"/>
      </rPr>
      <t>V/S</t>
    </r>
    <r>
      <rPr>
        <i/>
        <sz val="10"/>
        <color theme="1"/>
        <rFont val="Arial"/>
        <family val="2"/>
      </rPr>
      <t xml:space="preserve"> =</t>
    </r>
  </si>
  <si>
    <t>$epsshu</t>
  </si>
  <si>
    <t>$psish</t>
  </si>
  <si>
    <t>SHRINKAGE AND CREEP ACCORDING TO ACI 209R-92</t>
  </si>
  <si>
    <t>d =</t>
  </si>
  <si>
    <r>
      <rPr>
        <b/>
        <i/>
        <sz val="10"/>
        <color theme="1"/>
        <rFont val="Calibri"/>
        <family val="2"/>
      </rPr>
      <t>ψ</t>
    </r>
    <r>
      <rPr>
        <b/>
        <i/>
        <sz val="8.5"/>
        <color theme="1"/>
        <rFont val="Arial"/>
        <family val="2"/>
      </rPr>
      <t xml:space="preserve"> =</t>
    </r>
  </si>
  <si>
    <r>
      <t>γ</t>
    </r>
    <r>
      <rPr>
        <b/>
        <i/>
        <vertAlign val="subscript"/>
        <sz val="10"/>
        <color theme="1"/>
        <rFont val="Arial"/>
        <family val="2"/>
      </rPr>
      <t xml:space="preserve">c,vs </t>
    </r>
    <r>
      <rPr>
        <b/>
        <i/>
        <sz val="10"/>
        <color theme="1"/>
        <rFont val="Arial"/>
        <family val="2"/>
      </rPr>
      <t>=</t>
    </r>
  </si>
  <si>
    <r>
      <t>γ</t>
    </r>
    <r>
      <rPr>
        <b/>
        <i/>
        <vertAlign val="subscript"/>
        <sz val="10"/>
        <color theme="1"/>
        <rFont val="Arial"/>
        <family val="2"/>
      </rPr>
      <t xml:space="preserve">c,s </t>
    </r>
    <r>
      <rPr>
        <b/>
        <i/>
        <sz val="10"/>
        <color theme="1"/>
        <rFont val="Arial"/>
        <family val="2"/>
      </rPr>
      <t>=</t>
    </r>
  </si>
  <si>
    <r>
      <t>γ</t>
    </r>
    <r>
      <rPr>
        <b/>
        <i/>
        <vertAlign val="subscript"/>
        <sz val="10"/>
        <color theme="1"/>
        <rFont val="Arial"/>
        <family val="2"/>
      </rPr>
      <t>c,</t>
    </r>
    <r>
      <rPr>
        <b/>
        <vertAlign val="subscript"/>
        <sz val="10"/>
        <color theme="1"/>
        <rFont val="Arial"/>
        <family val="2"/>
      </rPr>
      <t>ψ</t>
    </r>
    <r>
      <rPr>
        <b/>
        <i/>
        <vertAlign val="subscript"/>
        <sz val="10"/>
        <color theme="1"/>
        <rFont val="Arial"/>
        <family val="2"/>
      </rPr>
      <t xml:space="preserve"> </t>
    </r>
    <r>
      <rPr>
        <b/>
        <i/>
        <sz val="10"/>
        <color theme="1"/>
        <rFont val="Arial"/>
        <family val="2"/>
      </rPr>
      <t>=</t>
    </r>
  </si>
  <si>
    <r>
      <t>γ</t>
    </r>
    <r>
      <rPr>
        <b/>
        <i/>
        <vertAlign val="subscript"/>
        <sz val="10"/>
        <color theme="1"/>
        <rFont val="Arial"/>
        <family val="2"/>
      </rPr>
      <t>c,</t>
    </r>
    <r>
      <rPr>
        <b/>
        <vertAlign val="subscript"/>
        <sz val="10"/>
        <color theme="1"/>
        <rFont val="Arial"/>
        <family val="2"/>
      </rPr>
      <t>α</t>
    </r>
    <r>
      <rPr>
        <b/>
        <i/>
        <vertAlign val="subscript"/>
        <sz val="10"/>
        <color theme="1"/>
        <rFont val="Arial"/>
        <family val="2"/>
      </rPr>
      <t xml:space="preserve"> </t>
    </r>
    <r>
      <rPr>
        <b/>
        <i/>
        <sz val="10"/>
        <color theme="1"/>
        <rFont val="Arial"/>
        <family val="2"/>
      </rPr>
      <t>=</t>
    </r>
  </si>
  <si>
    <t>– Parameter in shrinkage time evolution function</t>
  </si>
  <si>
    <t>– Parameter in creep time evolution function</t>
  </si>
  <si>
    <t>– Exponent in creep time evolution function</t>
  </si>
  <si>
    <r>
      <t xml:space="preserve">– Slump; </t>
    </r>
    <r>
      <rPr>
        <b/>
        <i/>
        <sz val="10"/>
        <color theme="1"/>
        <rFont val="Arial"/>
        <family val="2"/>
      </rPr>
      <t>leave blank if unknown</t>
    </r>
  </si>
  <si>
    <t>– Loading age</t>
  </si>
  <si>
    <t>– Time at which creep is calculated</t>
  </si>
  <si>
    <t>– Correction for loading age</t>
  </si>
  <si>
    <r>
      <t>γ</t>
    </r>
    <r>
      <rPr>
        <b/>
        <i/>
        <vertAlign val="subscript"/>
        <sz val="10"/>
        <color theme="1"/>
        <rFont val="Arial"/>
        <family val="2"/>
      </rPr>
      <t>c,t0</t>
    </r>
    <r>
      <rPr>
        <b/>
        <i/>
        <sz val="10"/>
        <color theme="1"/>
        <rFont val="Arial"/>
        <family val="2"/>
      </rPr>
      <t xml:space="preserve"> =</t>
    </r>
  </si>
  <si>
    <r>
      <t>γ</t>
    </r>
    <r>
      <rPr>
        <b/>
        <i/>
        <vertAlign val="subscript"/>
        <sz val="10"/>
        <color theme="1"/>
        <rFont val="Arial"/>
        <family val="2"/>
      </rPr>
      <t>c,RH</t>
    </r>
    <r>
      <rPr>
        <b/>
        <i/>
        <sz val="10"/>
        <color theme="1"/>
        <rFont val="Arial"/>
        <family val="2"/>
      </rPr>
      <t xml:space="preserve"> =</t>
    </r>
  </si>
  <si>
    <r>
      <t>γ</t>
    </r>
    <r>
      <rPr>
        <b/>
        <i/>
        <vertAlign val="subscript"/>
        <sz val="10"/>
        <color theme="1"/>
        <rFont val="Arial"/>
        <family val="2"/>
      </rPr>
      <t>c</t>
    </r>
    <r>
      <rPr>
        <b/>
        <i/>
        <sz val="10"/>
        <color theme="1"/>
        <rFont val="Arial"/>
        <family val="2"/>
      </rPr>
      <t xml:space="preserve"> =</t>
    </r>
  </si>
  <si>
    <t>– Global correction of ultimate creep coefficient</t>
  </si>
  <si>
    <r>
      <t>φ</t>
    </r>
    <r>
      <rPr>
        <b/>
        <i/>
        <vertAlign val="subscript"/>
        <sz val="10"/>
        <color theme="1"/>
        <rFont val="Arial"/>
        <family val="2"/>
      </rPr>
      <t>u,0</t>
    </r>
    <r>
      <rPr>
        <b/>
        <i/>
        <sz val="10"/>
        <color theme="1"/>
        <rFont val="Arial"/>
        <family val="2"/>
      </rPr>
      <t xml:space="preserve"> =</t>
    </r>
  </si>
  <si>
    <t xml:space="preserve">– Default value of ultimate creep coefficient; </t>
  </si>
  <si>
    <t>can be replaced with experimental value or fitted</t>
  </si>
  <si>
    <r>
      <t>φ</t>
    </r>
    <r>
      <rPr>
        <b/>
        <i/>
        <vertAlign val="subscript"/>
        <sz val="10"/>
        <color theme="1"/>
        <rFont val="Arial"/>
        <family val="2"/>
      </rPr>
      <t>u</t>
    </r>
    <r>
      <rPr>
        <b/>
        <i/>
        <sz val="10"/>
        <color theme="1"/>
        <rFont val="Arial"/>
        <family val="2"/>
      </rPr>
      <t xml:space="preserve"> =</t>
    </r>
  </si>
  <si>
    <r>
      <rPr>
        <b/>
        <sz val="10"/>
        <color theme="1"/>
        <rFont val="Calibri"/>
        <family val="2"/>
      </rPr>
      <t>β</t>
    </r>
    <r>
      <rPr>
        <b/>
        <i/>
        <sz val="10"/>
        <color theme="1"/>
        <rFont val="Arial"/>
        <family val="2"/>
      </rPr>
      <t xml:space="preserve"> (t,t</t>
    </r>
    <r>
      <rPr>
        <b/>
        <i/>
        <vertAlign val="subscript"/>
        <sz val="10"/>
        <color theme="1"/>
        <rFont val="Arial"/>
        <family val="2"/>
      </rPr>
      <t>c</t>
    </r>
    <r>
      <rPr>
        <b/>
        <i/>
        <sz val="10"/>
        <color theme="1"/>
        <rFont val="Arial"/>
        <family val="2"/>
      </rPr>
      <t>) =</t>
    </r>
  </si>
  <si>
    <r>
      <rPr>
        <b/>
        <sz val="10"/>
        <color theme="1"/>
        <rFont val="Calibri"/>
        <family val="2"/>
      </rPr>
      <t>β</t>
    </r>
    <r>
      <rPr>
        <b/>
        <i/>
        <sz val="10"/>
        <color theme="1"/>
        <rFont val="Arial"/>
        <family val="2"/>
      </rPr>
      <t xml:space="preserve"> (t,t</t>
    </r>
    <r>
      <rPr>
        <b/>
        <i/>
        <vertAlign val="subscript"/>
        <sz val="10"/>
        <color theme="1"/>
        <rFont val="Arial"/>
        <family val="2"/>
      </rPr>
      <t>0</t>
    </r>
    <r>
      <rPr>
        <b/>
        <i/>
        <sz val="10"/>
        <color theme="1"/>
        <rFont val="Arial"/>
        <family val="2"/>
      </rPr>
      <t>) =</t>
    </r>
  </si>
  <si>
    <t>$phiu</t>
  </si>
  <si>
    <t>$psicr1</t>
  </si>
  <si>
    <t>$psicr2</t>
  </si>
  <si>
    <r>
      <t>t</t>
    </r>
    <r>
      <rPr>
        <b/>
        <i/>
        <vertAlign val="subscript"/>
        <sz val="10"/>
        <color theme="1"/>
        <rFont val="Arial"/>
        <family val="2"/>
      </rPr>
      <t xml:space="preserve">0,adj </t>
    </r>
    <r>
      <rPr>
        <b/>
        <i/>
        <sz val="10"/>
        <color theme="1"/>
        <rFont val="Arial"/>
        <family val="2"/>
      </rPr>
      <t>=</t>
    </r>
  </si>
  <si>
    <t>– Loading age adjusted for cement type</t>
  </si>
  <si>
    <r>
      <t>α</t>
    </r>
    <r>
      <rPr>
        <b/>
        <i/>
        <sz val="10"/>
        <color theme="1"/>
        <rFont val="Arial"/>
        <family val="2"/>
      </rPr>
      <t xml:space="preserve"> =</t>
    </r>
  </si>
  <si>
    <r>
      <t xml:space="preserve">– 32.5N </t>
    </r>
    <r>
      <rPr>
        <b/>
        <i/>
        <sz val="10"/>
        <rFont val="Arial"/>
        <family val="2"/>
      </rPr>
      <t>–1</t>
    </r>
    <r>
      <rPr>
        <i/>
        <sz val="10"/>
        <rFont val="Arial"/>
        <family val="2"/>
      </rPr>
      <t xml:space="preserve">; 32.5R&amp;42.5N </t>
    </r>
    <r>
      <rPr>
        <b/>
        <i/>
        <sz val="10"/>
        <rFont val="Arial"/>
        <family val="2"/>
      </rPr>
      <t>0</t>
    </r>
    <r>
      <rPr>
        <i/>
        <sz val="10"/>
        <rFont val="Arial"/>
        <family val="2"/>
      </rPr>
      <t xml:space="preserve">; 42.5R&amp;52.5N&amp;52.5R </t>
    </r>
    <r>
      <rPr>
        <b/>
        <i/>
        <sz val="10"/>
        <rFont val="Arial"/>
        <family val="2"/>
      </rPr>
      <t>1</t>
    </r>
  </si>
  <si>
    <t>– 28-day modulus of elasticity</t>
  </si>
  <si>
    <r>
      <t>E</t>
    </r>
    <r>
      <rPr>
        <b/>
        <i/>
        <vertAlign val="subscript"/>
        <sz val="10"/>
        <color theme="1"/>
        <rFont val="Arial"/>
        <family val="2"/>
      </rPr>
      <t>cm</t>
    </r>
    <r>
      <rPr>
        <b/>
        <i/>
        <sz val="10"/>
        <color theme="1"/>
        <rFont val="Arial"/>
        <family val="2"/>
      </rPr>
      <t xml:space="preserve"> =</t>
    </r>
  </si>
  <si>
    <r>
      <t xml:space="preserve">– sandstone </t>
    </r>
    <r>
      <rPr>
        <b/>
        <i/>
        <sz val="10"/>
        <rFont val="Arial"/>
        <family val="2"/>
      </rPr>
      <t>0.7</t>
    </r>
    <r>
      <rPr>
        <i/>
        <sz val="10"/>
        <rFont val="Arial"/>
        <family val="2"/>
      </rPr>
      <t xml:space="preserve">; limestone </t>
    </r>
    <r>
      <rPr>
        <b/>
        <i/>
        <sz val="10"/>
        <rFont val="Arial"/>
        <family val="2"/>
      </rPr>
      <t>0.9</t>
    </r>
    <r>
      <rPr>
        <i/>
        <sz val="10"/>
        <rFont val="Arial"/>
        <family val="2"/>
      </rPr>
      <t xml:space="preserve">; quartzite </t>
    </r>
    <r>
      <rPr>
        <b/>
        <i/>
        <sz val="10"/>
        <rFont val="Arial"/>
        <family val="2"/>
      </rPr>
      <t>1</t>
    </r>
    <r>
      <rPr>
        <i/>
        <sz val="10"/>
        <rFont val="Arial"/>
        <family val="2"/>
      </rPr>
      <t xml:space="preserve">; basalt </t>
    </r>
    <r>
      <rPr>
        <b/>
        <i/>
        <sz val="10"/>
        <rFont val="Arial"/>
        <family val="2"/>
      </rPr>
      <t>1.2</t>
    </r>
  </si>
  <si>
    <r>
      <t>α</t>
    </r>
    <r>
      <rPr>
        <b/>
        <i/>
        <vertAlign val="subscript"/>
        <sz val="10"/>
        <color theme="1"/>
        <rFont val="Arial"/>
        <family val="2"/>
      </rPr>
      <t>NA</t>
    </r>
    <r>
      <rPr>
        <b/>
        <i/>
        <sz val="10"/>
        <color theme="1"/>
        <rFont val="Arial"/>
        <family val="2"/>
      </rPr>
      <t xml:space="preserve"> =</t>
    </r>
  </si>
  <si>
    <r>
      <t>E</t>
    </r>
    <r>
      <rPr>
        <b/>
        <i/>
        <vertAlign val="subscript"/>
        <sz val="10"/>
        <color theme="1"/>
        <rFont val="Arial"/>
        <family val="2"/>
      </rPr>
      <t>c</t>
    </r>
    <r>
      <rPr>
        <b/>
        <i/>
        <sz val="10"/>
        <color theme="1"/>
        <rFont val="Arial"/>
        <family val="2"/>
      </rPr>
      <t>(t</t>
    </r>
    <r>
      <rPr>
        <b/>
        <i/>
        <vertAlign val="subscript"/>
        <sz val="10"/>
        <color theme="1"/>
        <rFont val="Arial"/>
        <family val="2"/>
      </rPr>
      <t>0</t>
    </r>
    <r>
      <rPr>
        <b/>
        <i/>
        <sz val="10"/>
        <color theme="1"/>
        <rFont val="Arial"/>
        <family val="2"/>
      </rPr>
      <t>) =</t>
    </r>
  </si>
  <si>
    <r>
      <t>f</t>
    </r>
    <r>
      <rPr>
        <b/>
        <i/>
        <vertAlign val="subscript"/>
        <sz val="10"/>
        <color theme="1"/>
        <rFont val="Arial"/>
        <family val="2"/>
      </rPr>
      <t>c</t>
    </r>
    <r>
      <rPr>
        <b/>
        <i/>
        <sz val="10"/>
        <color theme="1"/>
        <rFont val="Arial"/>
        <family val="2"/>
      </rPr>
      <t>(t</t>
    </r>
    <r>
      <rPr>
        <b/>
        <i/>
        <vertAlign val="subscript"/>
        <sz val="10"/>
        <color theme="1"/>
        <rFont val="Arial"/>
        <family val="2"/>
      </rPr>
      <t>0</t>
    </r>
    <r>
      <rPr>
        <b/>
        <i/>
        <sz val="10"/>
        <color theme="1"/>
        <rFont val="Arial"/>
        <family val="2"/>
      </rPr>
      <t>) =</t>
    </r>
  </si>
  <si>
    <t>– Compressive strength at loading age</t>
  </si>
  <si>
    <r>
      <t xml:space="preserve">– 32.5N </t>
    </r>
    <r>
      <rPr>
        <b/>
        <i/>
        <sz val="10"/>
        <rFont val="Arial"/>
        <family val="2"/>
      </rPr>
      <t>0.38</t>
    </r>
    <r>
      <rPr>
        <i/>
        <sz val="10"/>
        <rFont val="Arial"/>
        <family val="2"/>
      </rPr>
      <t xml:space="preserve">; 32.5R&amp;42.5N </t>
    </r>
    <r>
      <rPr>
        <b/>
        <i/>
        <sz val="10"/>
        <rFont val="Arial"/>
        <family val="2"/>
      </rPr>
      <t>0.25</t>
    </r>
    <r>
      <rPr>
        <i/>
        <sz val="10"/>
        <rFont val="Arial"/>
        <family val="2"/>
      </rPr>
      <t xml:space="preserve">; 42.5R&amp;52.5N&amp;52.5R </t>
    </r>
    <r>
      <rPr>
        <b/>
        <i/>
        <sz val="10"/>
        <rFont val="Arial"/>
        <family val="2"/>
      </rPr>
      <t>0.2</t>
    </r>
  </si>
  <si>
    <t>– Modulus of elasticity at loading age</t>
  </si>
  <si>
    <r>
      <t>f</t>
    </r>
    <r>
      <rPr>
        <b/>
        <i/>
        <vertAlign val="subscript"/>
        <sz val="10"/>
        <color theme="1"/>
        <rFont val="Arial"/>
        <family val="2"/>
      </rPr>
      <t>ctm</t>
    </r>
    <r>
      <rPr>
        <b/>
        <i/>
        <sz val="10"/>
        <color theme="1"/>
        <rFont val="Arial"/>
        <family val="2"/>
      </rPr>
      <t>(t</t>
    </r>
    <r>
      <rPr>
        <b/>
        <i/>
        <vertAlign val="subscript"/>
        <sz val="10"/>
        <color theme="1"/>
        <rFont val="Arial"/>
        <family val="2"/>
      </rPr>
      <t>0</t>
    </r>
    <r>
      <rPr>
        <b/>
        <i/>
        <sz val="10"/>
        <color theme="1"/>
        <rFont val="Arial"/>
        <family val="2"/>
      </rPr>
      <t>) =</t>
    </r>
  </si>
  <si>
    <t>– Tensile strength at loading age</t>
  </si>
  <si>
    <t>$cem</t>
  </si>
  <si>
    <t>– Cement:</t>
  </si>
  <si>
    <t>(32.5N, 32.5R, 42.5N, 42.5R, 52.5N, 52.5R)</t>
  </si>
  <si>
    <t>42.5N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</si>
</sst>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"/>
    <numFmt numFmtId="165" formatCode="0E+00"/>
    <numFmt numFmtId="166" formatCode="0.0"/>
    <numFmt numFmtId="167" formatCode="0.000000"/>
    <numFmt numFmtId="168" formatCode="0.0000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i/>
      <sz val="10"/>
      <color theme="1"/>
      <name val="Arial"/>
      <family val="2"/>
    </font>
    <font>
      <b/>
      <i/>
      <vertAlign val="subscript"/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theme="1"/>
      <name val="Calibri"/>
      <family val="2"/>
    </font>
    <font>
      <b/>
      <i/>
      <sz val="10"/>
      <color theme="1"/>
      <name val="Calibri"/>
      <family val="2"/>
    </font>
    <font>
      <b/>
      <sz val="10"/>
      <color theme="1"/>
      <name val="Arial"/>
      <family val="2"/>
    </font>
    <font>
      <i/>
      <sz val="10"/>
      <color theme="1"/>
      <name val="Calibri"/>
      <family val="2"/>
    </font>
    <font>
      <i/>
      <vertAlign val="subscript"/>
      <sz val="10"/>
      <color theme="1"/>
      <name val="Arial"/>
      <family val="2"/>
    </font>
    <font>
      <sz val="10"/>
      <color theme="1"/>
      <name val="Arial"/>
      <family val="2"/>
    </font>
    <font>
      <b/>
      <i/>
      <sz val="10"/>
      <name val="Arial"/>
      <family val="2"/>
    </font>
    <font>
      <b/>
      <i/>
      <sz val="11.5"/>
      <color theme="1"/>
      <name val="Arial"/>
      <family val="2"/>
    </font>
    <font>
      <b/>
      <vertAlign val="subscript"/>
      <sz val="10"/>
      <color theme="1"/>
      <name val="Arial"/>
      <family val="2"/>
    </font>
    <font>
      <i/>
      <vertAlign val="superscript"/>
      <sz val="10"/>
      <color theme="1"/>
      <name val="Arial"/>
      <family val="2"/>
    </font>
    <font>
      <b/>
      <i/>
      <sz val="8.5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200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0" xfId="0" applyFont="1"/>
    <xf numFmtId="1" fontId="0" fillId="0" borderId="0" xfId="0" applyNumberFormat="1"/>
    <xf numFmtId="164" fontId="0" fillId="0" borderId="0" xfId="0" applyNumberFormat="1"/>
    <xf numFmtId="164" fontId="0" fillId="0" borderId="0" xfId="0" applyNumberFormat="1" applyBorder="1"/>
    <xf numFmtId="0" fontId="0" fillId="0" borderId="0" xfId="0" applyBorder="1"/>
    <xf numFmtId="1" fontId="0" fillId="0" borderId="1" xfId="0" applyNumberFormat="1" applyBorder="1"/>
    <xf numFmtId="164" fontId="0" fillId="0" borderId="1" xfId="0" applyNumberFormat="1" applyBorder="1"/>
    <xf numFmtId="1" fontId="1" fillId="0" borderId="1" xfId="0" applyNumberFormat="1" applyFont="1" applyBorder="1"/>
    <xf numFmtId="1" fontId="0" fillId="0" borderId="0" xfId="0" applyNumberFormat="1" applyBorder="1"/>
    <xf numFmtId="164" fontId="1" fillId="0" borderId="0" xfId="0" applyNumberFormat="1" applyFont="1"/>
    <xf numFmtId="0" fontId="1" fillId="2" borderId="0" xfId="0" applyFont="1" applyFill="1"/>
    <xf numFmtId="2" fontId="0" fillId="0" borderId="0" xfId="0" applyNumberFormat="1"/>
    <xf numFmtId="0" fontId="0" fillId="2" borderId="0" xfId="0" applyFill="1"/>
    <xf numFmtId="0" fontId="6" fillId="0" borderId="0" xfId="2" applyFont="1" applyFill="1" applyBorder="1" applyAlignment="1">
      <alignment horizontal="center" vertical="center"/>
    </xf>
    <xf numFmtId="0" fontId="8" fillId="0" borderId="0" xfId="2" applyFont="1" applyAlignment="1">
      <alignment horizontal="center" vertical="center"/>
    </xf>
    <xf numFmtId="165" fontId="6" fillId="0" borderId="0" xfId="2" applyNumberFormat="1" applyFont="1" applyBorder="1" applyAlignment="1">
      <alignment horizontal="center" vertical="center"/>
    </xf>
    <xf numFmtId="0" fontId="6" fillId="0" borderId="0" xfId="2" applyFont="1" applyBorder="1" applyAlignment="1">
      <alignment horizontal="center" vertical="center"/>
    </xf>
    <xf numFmtId="0" fontId="4" fillId="0" borderId="0" xfId="2" applyFont="1" applyBorder="1" applyAlignment="1">
      <alignment horizontal="center" vertical="center" wrapText="1"/>
    </xf>
    <xf numFmtId="0" fontId="4" fillId="0" borderId="0" xfId="2" applyFont="1" applyBorder="1" applyAlignment="1">
      <alignment horizontal="center" vertical="center"/>
    </xf>
    <xf numFmtId="164" fontId="6" fillId="0" borderId="0" xfId="2" applyNumberFormat="1" applyFont="1" applyBorder="1" applyAlignment="1">
      <alignment horizontal="center" vertical="center"/>
    </xf>
    <xf numFmtId="0" fontId="8" fillId="0" borderId="0" xfId="2" applyFont="1" applyBorder="1" applyAlignment="1">
      <alignment horizontal="center" vertical="center"/>
    </xf>
    <xf numFmtId="166" fontId="6" fillId="0" borderId="0" xfId="2" applyNumberFormat="1" applyFont="1" applyFill="1" applyBorder="1" applyAlignment="1">
      <alignment horizontal="center" vertical="center"/>
    </xf>
    <xf numFmtId="0" fontId="6" fillId="2" borderId="0" xfId="2" applyFont="1" applyFill="1" applyBorder="1" applyAlignment="1">
      <alignment horizontal="center" vertical="center"/>
    </xf>
    <xf numFmtId="166" fontId="6" fillId="2" borderId="0" xfId="2" applyNumberFormat="1" applyFont="1" applyFill="1" applyBorder="1" applyAlignment="1">
      <alignment horizontal="center" vertical="center"/>
    </xf>
    <xf numFmtId="2" fontId="6" fillId="0" borderId="0" xfId="2" applyNumberFormat="1" applyFont="1" applyBorder="1" applyAlignment="1">
      <alignment horizontal="center" vertical="center"/>
    </xf>
    <xf numFmtId="0" fontId="6" fillId="3" borderId="0" xfId="2" applyFont="1" applyFill="1" applyBorder="1" applyAlignment="1">
      <alignment horizontal="center" vertical="center"/>
    </xf>
    <xf numFmtId="166" fontId="4" fillId="3" borderId="0" xfId="2" applyNumberFormat="1" applyFont="1" applyFill="1" applyBorder="1" applyAlignment="1">
      <alignment horizontal="center" vertical="center"/>
    </xf>
    <xf numFmtId="0" fontId="8" fillId="0" borderId="5" xfId="2" applyFont="1" applyBorder="1" applyAlignment="1">
      <alignment horizontal="center" vertical="center"/>
    </xf>
    <xf numFmtId="0" fontId="8" fillId="0" borderId="6" xfId="2" applyFont="1" applyBorder="1" applyAlignment="1">
      <alignment horizontal="center" vertical="center"/>
    </xf>
    <xf numFmtId="0" fontId="8" fillId="0" borderId="7" xfId="2" applyFont="1" applyBorder="1" applyAlignment="1">
      <alignment horizontal="center" vertical="center"/>
    </xf>
    <xf numFmtId="0" fontId="8" fillId="0" borderId="9" xfId="2" applyFont="1" applyBorder="1" applyAlignment="1">
      <alignment horizontal="center" vertical="center"/>
    </xf>
    <xf numFmtId="0" fontId="15" fillId="0" borderId="8" xfId="2" applyFont="1" applyBorder="1" applyAlignment="1">
      <alignment horizontal="center" vertical="center"/>
    </xf>
    <xf numFmtId="165" fontId="6" fillId="0" borderId="0" xfId="2" applyNumberFormat="1" applyFont="1" applyBorder="1" applyAlignment="1">
      <alignment horizontal="left" vertical="center"/>
    </xf>
    <xf numFmtId="0" fontId="15" fillId="0" borderId="0" xfId="2" applyFont="1" applyBorder="1" applyAlignment="1">
      <alignment vertical="center"/>
    </xf>
    <xf numFmtId="164" fontId="8" fillId="0" borderId="0" xfId="2" applyNumberFormat="1" applyFont="1" applyBorder="1" applyAlignment="1">
      <alignment horizontal="center" vertical="center"/>
    </xf>
    <xf numFmtId="0" fontId="8" fillId="0" borderId="0" xfId="2" applyFont="1" applyBorder="1" applyAlignment="1">
      <alignment horizontal="left" vertical="center"/>
    </xf>
    <xf numFmtId="0" fontId="15" fillId="4" borderId="8" xfId="2" applyFont="1" applyFill="1" applyBorder="1" applyAlignment="1">
      <alignment horizontal="center" vertical="center"/>
    </xf>
    <xf numFmtId="164" fontId="15" fillId="4" borderId="9" xfId="2" applyNumberFormat="1" applyFont="1" applyFill="1" applyBorder="1" applyAlignment="1">
      <alignment horizontal="center" vertical="center"/>
    </xf>
    <xf numFmtId="0" fontId="15" fillId="4" borderId="5" xfId="2" applyFont="1" applyFill="1" applyBorder="1" applyAlignment="1">
      <alignment horizontal="center" vertical="center"/>
    </xf>
    <xf numFmtId="2" fontId="15" fillId="4" borderId="7" xfId="2" applyNumberFormat="1" applyFont="1" applyFill="1" applyBorder="1" applyAlignment="1">
      <alignment horizontal="center" vertical="center"/>
    </xf>
    <xf numFmtId="0" fontId="15" fillId="4" borderId="12" xfId="2" applyFont="1" applyFill="1" applyBorder="1" applyAlignment="1">
      <alignment horizontal="center" vertical="center"/>
    </xf>
    <xf numFmtId="0" fontId="15" fillId="4" borderId="13" xfId="2" applyFont="1" applyFill="1" applyBorder="1" applyAlignment="1">
      <alignment horizontal="center" vertical="center"/>
    </xf>
    <xf numFmtId="0" fontId="15" fillId="4" borderId="14" xfId="2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4" fillId="3" borderId="0" xfId="1" applyFont="1" applyFill="1" applyBorder="1" applyAlignment="1">
      <alignment horizontal="center" vertical="center" wrapText="1"/>
    </xf>
    <xf numFmtId="166" fontId="15" fillId="4" borderId="9" xfId="2" applyNumberFormat="1" applyFont="1" applyFill="1" applyBorder="1" applyAlignment="1">
      <alignment horizontal="center" vertical="center"/>
    </xf>
    <xf numFmtId="0" fontId="4" fillId="0" borderId="8" xfId="2" applyFont="1" applyBorder="1" applyAlignment="1">
      <alignment horizontal="center" vertical="center"/>
    </xf>
    <xf numFmtId="0" fontId="6" fillId="0" borderId="0" xfId="2" applyFont="1" applyFill="1" applyBorder="1" applyAlignment="1">
      <alignment horizontal="left" vertical="center"/>
    </xf>
    <xf numFmtId="0" fontId="7" fillId="0" borderId="0" xfId="2" applyFont="1" applyFill="1" applyBorder="1" applyAlignment="1">
      <alignment horizontal="center" vertical="center"/>
    </xf>
    <xf numFmtId="0" fontId="4" fillId="0" borderId="0" xfId="2" applyFont="1" applyFill="1" applyBorder="1" applyAlignment="1">
      <alignment horizontal="center" vertical="center"/>
    </xf>
    <xf numFmtId="164" fontId="6" fillId="2" borderId="0" xfId="2" applyNumberFormat="1" applyFont="1" applyFill="1" applyBorder="1" applyAlignment="1">
      <alignment horizontal="center" vertical="center"/>
    </xf>
    <xf numFmtId="0" fontId="8" fillId="0" borderId="0" xfId="2" applyFont="1" applyBorder="1" applyAlignment="1">
      <alignment horizontal="center" vertical="center" textRotation="90" wrapText="1"/>
    </xf>
    <xf numFmtId="0" fontId="8" fillId="0" borderId="0" xfId="2" applyFont="1" applyFill="1" applyBorder="1" applyAlignment="1">
      <alignment horizontal="left" vertical="center"/>
    </xf>
    <xf numFmtId="166" fontId="8" fillId="0" borderId="0" xfId="2" applyNumberFormat="1" applyFont="1" applyFill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166" fontId="8" fillId="2" borderId="0" xfId="2" applyNumberFormat="1" applyFont="1" applyFill="1" applyBorder="1" applyAlignment="1">
      <alignment horizontal="center" vertical="center"/>
    </xf>
    <xf numFmtId="164" fontId="6" fillId="0" borderId="0" xfId="1" applyNumberFormat="1" applyFont="1" applyBorder="1" applyAlignment="1">
      <alignment horizontal="center" vertical="center"/>
    </xf>
    <xf numFmtId="0" fontId="4" fillId="0" borderId="8" xfId="2" applyFont="1" applyBorder="1" applyAlignment="1">
      <alignment horizontal="center" vertical="center" wrapText="1"/>
    </xf>
    <xf numFmtId="164" fontId="8" fillId="0" borderId="0" xfId="2" applyNumberFormat="1" applyFont="1" applyFill="1" applyBorder="1" applyAlignment="1">
      <alignment horizontal="center" vertical="center"/>
    </xf>
    <xf numFmtId="0" fontId="4" fillId="3" borderId="8" xfId="2" applyFont="1" applyFill="1" applyBorder="1" applyAlignment="1">
      <alignment horizontal="center" vertical="center" wrapText="1"/>
    </xf>
    <xf numFmtId="164" fontId="8" fillId="3" borderId="0" xfId="2" applyNumberFormat="1" applyFont="1" applyFill="1" applyBorder="1" applyAlignment="1">
      <alignment horizontal="center" vertical="center"/>
    </xf>
    <xf numFmtId="0" fontId="8" fillId="0" borderId="18" xfId="2" applyFont="1" applyBorder="1" applyAlignment="1">
      <alignment horizontal="left" vertical="center"/>
    </xf>
    <xf numFmtId="0" fontId="8" fillId="0" borderId="19" xfId="2" applyFont="1" applyBorder="1" applyAlignment="1">
      <alignment horizontal="left" vertical="center"/>
    </xf>
    <xf numFmtId="0" fontId="8" fillId="0" borderId="19" xfId="2" applyFont="1" applyBorder="1" applyAlignment="1">
      <alignment horizontal="center" vertical="center"/>
    </xf>
    <xf numFmtId="165" fontId="6" fillId="0" borderId="19" xfId="2" applyNumberFormat="1" applyFont="1" applyBorder="1" applyAlignment="1">
      <alignment horizontal="left" vertical="center"/>
    </xf>
    <xf numFmtId="2" fontId="6" fillId="0" borderId="19" xfId="2" applyNumberFormat="1" applyFont="1" applyFill="1" applyBorder="1" applyAlignment="1">
      <alignment horizontal="center" vertical="center"/>
    </xf>
    <xf numFmtId="0" fontId="6" fillId="0" borderId="19" xfId="2" applyFont="1" applyFill="1" applyBorder="1" applyAlignment="1">
      <alignment horizontal="left" vertical="center"/>
    </xf>
    <xf numFmtId="0" fontId="6" fillId="0" borderId="19" xfId="2" applyFont="1" applyBorder="1" applyAlignment="1">
      <alignment horizontal="left" vertical="center"/>
    </xf>
    <xf numFmtId="0" fontId="14" fillId="0" borderId="19" xfId="2" applyFont="1" applyBorder="1" applyAlignment="1">
      <alignment horizontal="left" vertical="center"/>
    </xf>
    <xf numFmtId="165" fontId="6" fillId="3" borderId="19" xfId="2" applyNumberFormat="1" applyFont="1" applyFill="1" applyBorder="1" applyAlignment="1">
      <alignment horizontal="left" vertical="center"/>
    </xf>
    <xf numFmtId="165" fontId="4" fillId="3" borderId="19" xfId="2" applyNumberFormat="1" applyFont="1" applyFill="1" applyBorder="1" applyAlignment="1">
      <alignment horizontal="left" vertical="center"/>
    </xf>
    <xf numFmtId="0" fontId="8" fillId="0" borderId="19" xfId="2" applyFont="1" applyFill="1" applyBorder="1" applyAlignment="1">
      <alignment horizontal="left" vertical="center"/>
    </xf>
    <xf numFmtId="0" fontId="8" fillId="0" borderId="19" xfId="2" applyFont="1" applyFill="1" applyBorder="1" applyAlignment="1">
      <alignment horizontal="center" vertical="center" textRotation="90" wrapText="1"/>
    </xf>
    <xf numFmtId="0" fontId="4" fillId="0" borderId="19" xfId="2" applyFont="1" applyBorder="1" applyAlignment="1">
      <alignment horizontal="center" vertical="center"/>
    </xf>
    <xf numFmtId="164" fontId="6" fillId="2" borderId="19" xfId="2" applyNumberFormat="1" applyFont="1" applyFill="1" applyBorder="1" applyAlignment="1">
      <alignment horizontal="center" vertical="center"/>
    </xf>
    <xf numFmtId="2" fontId="6" fillId="5" borderId="21" xfId="2" applyNumberFormat="1" applyFont="1" applyFill="1" applyBorder="1" applyAlignment="1">
      <alignment horizontal="center" vertical="center"/>
    </xf>
    <xf numFmtId="166" fontId="6" fillId="5" borderId="21" xfId="2" applyNumberFormat="1" applyFont="1" applyFill="1" applyBorder="1" applyAlignment="1">
      <alignment horizontal="center" vertical="center"/>
    </xf>
    <xf numFmtId="0" fontId="8" fillId="5" borderId="21" xfId="2" applyFont="1" applyFill="1" applyBorder="1" applyAlignment="1">
      <alignment horizontal="center" vertical="center"/>
    </xf>
    <xf numFmtId="0" fontId="8" fillId="5" borderId="22" xfId="2" applyFont="1" applyFill="1" applyBorder="1" applyAlignment="1">
      <alignment horizontal="center" vertical="center"/>
    </xf>
    <xf numFmtId="0" fontId="6" fillId="5" borderId="0" xfId="2" applyFont="1" applyFill="1" applyBorder="1" applyAlignment="1">
      <alignment horizontal="center" vertical="center"/>
    </xf>
    <xf numFmtId="166" fontId="6" fillId="5" borderId="0" xfId="2" applyNumberFormat="1" applyFont="1" applyFill="1" applyBorder="1" applyAlignment="1">
      <alignment horizontal="center" vertical="center"/>
    </xf>
    <xf numFmtId="0" fontId="8" fillId="5" borderId="19" xfId="2" applyFont="1" applyFill="1" applyBorder="1" applyAlignment="1">
      <alignment horizontal="left" vertical="center"/>
    </xf>
    <xf numFmtId="0" fontId="6" fillId="5" borderId="16" xfId="2" applyFont="1" applyFill="1" applyBorder="1" applyAlignment="1">
      <alignment horizontal="center" vertical="center"/>
    </xf>
    <xf numFmtId="166" fontId="8" fillId="5" borderId="16" xfId="2" applyNumberFormat="1" applyFont="1" applyFill="1" applyBorder="1" applyAlignment="1">
      <alignment horizontal="center" vertical="center"/>
    </xf>
    <xf numFmtId="0" fontId="8" fillId="5" borderId="24" xfId="2" applyFont="1" applyFill="1" applyBorder="1" applyAlignment="1">
      <alignment horizontal="left" vertical="center"/>
    </xf>
    <xf numFmtId="0" fontId="8" fillId="0" borderId="25" xfId="2" applyFont="1" applyBorder="1" applyAlignment="1">
      <alignment horizontal="center" vertical="center"/>
    </xf>
    <xf numFmtId="0" fontId="15" fillId="0" borderId="19" xfId="2" applyFont="1" applyBorder="1" applyAlignment="1">
      <alignment horizontal="center" vertical="center"/>
    </xf>
    <xf numFmtId="0" fontId="6" fillId="0" borderId="18" xfId="2" applyFont="1" applyFill="1" applyBorder="1" applyAlignment="1">
      <alignment horizontal="center" vertical="center"/>
    </xf>
    <xf numFmtId="0" fontId="6" fillId="0" borderId="19" xfId="2" applyFont="1" applyFill="1" applyBorder="1" applyAlignment="1">
      <alignment horizontal="center" vertical="center"/>
    </xf>
    <xf numFmtId="0" fontId="6" fillId="0" borderId="24" xfId="2" applyFont="1" applyFill="1" applyBorder="1" applyAlignment="1">
      <alignment horizontal="center" vertical="center"/>
    </xf>
    <xf numFmtId="0" fontId="6" fillId="0" borderId="22" xfId="2" applyFont="1" applyBorder="1" applyAlignment="1">
      <alignment horizontal="center" vertical="center"/>
    </xf>
    <xf numFmtId="0" fontId="6" fillId="0" borderId="19" xfId="2" applyFont="1" applyBorder="1" applyAlignment="1">
      <alignment horizontal="center" vertical="center"/>
    </xf>
    <xf numFmtId="0" fontId="8" fillId="5" borderId="22" xfId="2" applyFont="1" applyFill="1" applyBorder="1" applyAlignment="1">
      <alignment horizontal="left" vertical="center"/>
    </xf>
    <xf numFmtId="0" fontId="6" fillId="0" borderId="0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2" fontId="6" fillId="0" borderId="0" xfId="1" applyNumberFormat="1" applyFont="1" applyBorder="1" applyAlignment="1">
      <alignment horizontal="center" vertical="center"/>
    </xf>
    <xf numFmtId="0" fontId="6" fillId="2" borderId="0" xfId="1" applyFont="1" applyFill="1" applyBorder="1" applyAlignment="1">
      <alignment horizontal="center" vertical="center"/>
    </xf>
    <xf numFmtId="165" fontId="6" fillId="0" borderId="0" xfId="1" applyNumberFormat="1" applyFont="1" applyBorder="1" applyAlignment="1">
      <alignment horizontal="center" vertical="center"/>
    </xf>
    <xf numFmtId="164" fontId="6" fillId="0" borderId="0" xfId="1" applyNumberFormat="1" applyFont="1" applyFill="1" applyBorder="1" applyAlignment="1">
      <alignment horizontal="center" vertical="center"/>
    </xf>
    <xf numFmtId="166" fontId="6" fillId="0" borderId="0" xfId="1" applyNumberFormat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0" fontId="6" fillId="0" borderId="0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left" vertical="center"/>
    </xf>
    <xf numFmtId="166" fontId="6" fillId="2" borderId="0" xfId="1" applyNumberFormat="1" applyFont="1" applyFill="1" applyBorder="1" applyAlignment="1">
      <alignment horizontal="center" vertical="center"/>
    </xf>
    <xf numFmtId="164" fontId="6" fillId="0" borderId="0" xfId="1" applyNumberFormat="1" applyFont="1" applyFill="1" applyBorder="1" applyAlignment="1">
      <alignment horizontal="left" vertical="center"/>
    </xf>
    <xf numFmtId="0" fontId="6" fillId="3" borderId="0" xfId="1" applyFont="1" applyFill="1" applyBorder="1" applyAlignment="1">
      <alignment horizontal="center" vertical="center"/>
    </xf>
    <xf numFmtId="1" fontId="6" fillId="0" borderId="0" xfId="1" applyNumberFormat="1" applyFont="1" applyFill="1" applyBorder="1" applyAlignment="1">
      <alignment horizontal="center" vertical="center"/>
    </xf>
    <xf numFmtId="167" fontId="15" fillId="4" borderId="4" xfId="2" applyNumberFormat="1" applyFont="1" applyFill="1" applyBorder="1" applyAlignment="1">
      <alignment horizontal="center" vertical="center"/>
    </xf>
    <xf numFmtId="0" fontId="6" fillId="0" borderId="19" xfId="1" applyFont="1" applyFill="1" applyBorder="1" applyAlignment="1">
      <alignment horizontal="left" vertical="center"/>
    </xf>
    <xf numFmtId="2" fontId="6" fillId="0" borderId="19" xfId="1" applyNumberFormat="1" applyFont="1" applyFill="1" applyBorder="1" applyAlignment="1">
      <alignment horizontal="center" vertical="center"/>
    </xf>
    <xf numFmtId="165" fontId="6" fillId="0" borderId="19" xfId="1" applyNumberFormat="1" applyFont="1" applyBorder="1" applyAlignment="1">
      <alignment horizontal="left" vertical="center"/>
    </xf>
    <xf numFmtId="0" fontId="6" fillId="0" borderId="19" xfId="1" applyFont="1" applyFill="1" applyBorder="1" applyAlignment="1">
      <alignment horizontal="center" vertical="center"/>
    </xf>
    <xf numFmtId="2" fontId="6" fillId="0" borderId="19" xfId="1" applyNumberFormat="1" applyFont="1" applyFill="1" applyBorder="1" applyAlignment="1">
      <alignment horizontal="left" vertical="center"/>
    </xf>
    <xf numFmtId="164" fontId="6" fillId="0" borderId="19" xfId="1" applyNumberFormat="1" applyFont="1" applyFill="1" applyBorder="1" applyAlignment="1">
      <alignment horizontal="center" vertical="center"/>
    </xf>
    <xf numFmtId="164" fontId="6" fillId="0" borderId="19" xfId="1" applyNumberFormat="1" applyFont="1" applyFill="1" applyBorder="1" applyAlignment="1">
      <alignment horizontal="left" vertical="center"/>
    </xf>
    <xf numFmtId="165" fontId="6" fillId="3" borderId="19" xfId="1" applyNumberFormat="1" applyFont="1" applyFill="1" applyBorder="1" applyAlignment="1">
      <alignment horizontal="left" vertical="center"/>
    </xf>
    <xf numFmtId="0" fontId="6" fillId="0" borderId="19" xfId="1" applyFont="1" applyBorder="1" applyAlignment="1">
      <alignment horizontal="center" vertical="center"/>
    </xf>
    <xf numFmtId="0" fontId="8" fillId="0" borderId="18" xfId="1" applyFont="1" applyBorder="1" applyAlignment="1">
      <alignment horizontal="center" vertical="center"/>
    </xf>
    <xf numFmtId="0" fontId="8" fillId="0" borderId="19" xfId="1" applyFont="1" applyBorder="1" applyAlignment="1">
      <alignment horizontal="center" vertical="center"/>
    </xf>
    <xf numFmtId="2" fontId="8" fillId="0" borderId="0" xfId="1" applyNumberFormat="1" applyFont="1" applyBorder="1" applyAlignment="1">
      <alignment horizontal="center" vertical="center"/>
    </xf>
    <xf numFmtId="166" fontId="8" fillId="0" borderId="0" xfId="1" applyNumberFormat="1" applyFont="1" applyBorder="1" applyAlignment="1">
      <alignment horizontal="center" vertical="center"/>
    </xf>
    <xf numFmtId="164" fontId="8" fillId="0" borderId="0" xfId="1" applyNumberFormat="1" applyFont="1" applyBorder="1" applyAlignment="1">
      <alignment horizontal="center" vertical="center"/>
    </xf>
    <xf numFmtId="0" fontId="8" fillId="0" borderId="0" xfId="1" applyFont="1" applyBorder="1" applyAlignment="1">
      <alignment horizontal="left" vertical="center"/>
    </xf>
    <xf numFmtId="0" fontId="8" fillId="2" borderId="0" xfId="1" applyFont="1" applyFill="1" applyBorder="1" applyAlignment="1">
      <alignment horizontal="center" vertical="center"/>
    </xf>
    <xf numFmtId="164" fontId="15" fillId="3" borderId="0" xfId="1" applyNumberFormat="1" applyFont="1" applyFill="1" applyBorder="1" applyAlignment="1">
      <alignment horizontal="center" vertical="center"/>
    </xf>
    <xf numFmtId="2" fontId="15" fillId="4" borderId="9" xfId="2" applyNumberFormat="1" applyFont="1" applyFill="1" applyBorder="1" applyAlignment="1">
      <alignment horizontal="center" vertical="center"/>
    </xf>
    <xf numFmtId="164" fontId="15" fillId="4" borderId="4" xfId="2" applyNumberFormat="1" applyFont="1" applyFill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0" borderId="3" xfId="2" applyFont="1" applyFill="1" applyBorder="1" applyAlignment="1">
      <alignment horizontal="left" vertical="center"/>
    </xf>
    <xf numFmtId="0" fontId="7" fillId="0" borderId="3" xfId="1" applyFont="1" applyFill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/>
    </xf>
    <xf numFmtId="2" fontId="6" fillId="5" borderId="3" xfId="2" applyNumberFormat="1" applyFont="1" applyFill="1" applyBorder="1" applyAlignment="1">
      <alignment horizontal="center" vertical="center"/>
    </xf>
    <xf numFmtId="166" fontId="6" fillId="5" borderId="3" xfId="2" applyNumberFormat="1" applyFont="1" applyFill="1" applyBorder="1" applyAlignment="1">
      <alignment horizontal="center" vertical="center"/>
    </xf>
    <xf numFmtId="0" fontId="8" fillId="5" borderId="18" xfId="2" applyFont="1" applyFill="1" applyBorder="1" applyAlignment="1">
      <alignment horizontal="left" vertical="center"/>
    </xf>
    <xf numFmtId="0" fontId="8" fillId="5" borderId="3" xfId="2" applyFont="1" applyFill="1" applyBorder="1" applyAlignment="1">
      <alignment horizontal="center" vertical="center"/>
    </xf>
    <xf numFmtId="0" fontId="8" fillId="5" borderId="4" xfId="2" applyFont="1" applyFill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8" fillId="5" borderId="9" xfId="2" applyFont="1" applyFill="1" applyBorder="1" applyAlignment="1">
      <alignment horizontal="left" vertical="center"/>
    </xf>
    <xf numFmtId="0" fontId="8" fillId="5" borderId="26" xfId="2" applyFont="1" applyFill="1" applyBorder="1" applyAlignment="1">
      <alignment horizontal="left" vertical="center"/>
    </xf>
    <xf numFmtId="0" fontId="8" fillId="0" borderId="9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 wrapText="1"/>
    </xf>
    <xf numFmtId="0" fontId="4" fillId="3" borderId="8" xfId="1" applyFont="1" applyFill="1" applyBorder="1" applyAlignment="1">
      <alignment horizontal="center" vertical="center"/>
    </xf>
    <xf numFmtId="0" fontId="4" fillId="3" borderId="5" xfId="2" applyFont="1" applyFill="1" applyBorder="1" applyAlignment="1">
      <alignment horizontal="center" vertical="center" wrapText="1"/>
    </xf>
    <xf numFmtId="1" fontId="15" fillId="3" borderId="6" xfId="1" applyNumberFormat="1" applyFont="1" applyFill="1" applyBorder="1" applyAlignment="1">
      <alignment horizontal="center" vertical="center"/>
    </xf>
    <xf numFmtId="165" fontId="4" fillId="3" borderId="25" xfId="1" applyNumberFormat="1" applyFont="1" applyFill="1" applyBorder="1" applyAlignment="1">
      <alignment horizontal="left" vertical="center"/>
    </xf>
    <xf numFmtId="0" fontId="8" fillId="0" borderId="6" xfId="1" applyFont="1" applyBorder="1" applyAlignment="1">
      <alignment horizontal="center" vertical="center"/>
    </xf>
    <xf numFmtId="0" fontId="4" fillId="0" borderId="6" xfId="1" applyFont="1" applyFill="1" applyBorder="1" applyAlignment="1">
      <alignment horizontal="center" vertical="center"/>
    </xf>
    <xf numFmtId="0" fontId="4" fillId="0" borderId="25" xfId="1" applyFont="1" applyBorder="1" applyAlignment="1">
      <alignment horizontal="center" vertical="center"/>
    </xf>
    <xf numFmtId="0" fontId="4" fillId="3" borderId="6" xfId="1" applyFont="1" applyFill="1" applyBorder="1" applyAlignment="1">
      <alignment horizontal="center" vertical="center" wrapText="1"/>
    </xf>
    <xf numFmtId="164" fontId="15" fillId="3" borderId="6" xfId="1" applyNumberFormat="1" applyFont="1" applyFill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/>
    </xf>
    <xf numFmtId="0" fontId="4" fillId="0" borderId="2" xfId="2" applyFont="1" applyBorder="1" applyAlignment="1">
      <alignment horizontal="center" vertical="center"/>
    </xf>
    <xf numFmtId="0" fontId="6" fillId="2" borderId="3" xfId="2" applyFont="1" applyFill="1" applyBorder="1" applyAlignment="1">
      <alignment horizontal="center" vertical="center"/>
    </xf>
    <xf numFmtId="0" fontId="7" fillId="0" borderId="3" xfId="2" applyFont="1" applyFill="1" applyBorder="1" applyAlignment="1">
      <alignment horizontal="center" vertical="center"/>
    </xf>
    <xf numFmtId="0" fontId="6" fillId="0" borderId="3" xfId="2" applyFont="1" applyBorder="1" applyAlignment="1">
      <alignment horizontal="center" vertical="center"/>
    </xf>
    <xf numFmtId="0" fontId="6" fillId="0" borderId="3" xfId="2" applyFont="1" applyFill="1" applyBorder="1" applyAlignment="1">
      <alignment horizontal="center" vertical="center"/>
    </xf>
    <xf numFmtId="0" fontId="8" fillId="0" borderId="3" xfId="2" applyFont="1" applyBorder="1" applyAlignment="1">
      <alignment horizontal="center" vertical="center"/>
    </xf>
    <xf numFmtId="0" fontId="8" fillId="0" borderId="4" xfId="2" applyFont="1" applyBorder="1" applyAlignment="1">
      <alignment horizontal="center" vertical="center"/>
    </xf>
    <xf numFmtId="167" fontId="15" fillId="4" borderId="9" xfId="2" applyNumberFormat="1" applyFont="1" applyFill="1" applyBorder="1" applyAlignment="1">
      <alignment horizontal="center" vertical="center"/>
    </xf>
    <xf numFmtId="168" fontId="15" fillId="4" borderId="9" xfId="2" applyNumberFormat="1" applyFont="1" applyFill="1" applyBorder="1" applyAlignment="1">
      <alignment horizontal="center" vertical="center"/>
    </xf>
    <xf numFmtId="168" fontId="15" fillId="4" borderId="7" xfId="2" applyNumberFormat="1" applyFont="1" applyFill="1" applyBorder="1" applyAlignment="1">
      <alignment horizontal="center" vertical="center"/>
    </xf>
    <xf numFmtId="0" fontId="4" fillId="3" borderId="27" xfId="1" applyFont="1" applyFill="1" applyBorder="1" applyAlignment="1">
      <alignment horizontal="center" vertical="center" wrapText="1"/>
    </xf>
    <xf numFmtId="164" fontId="15" fillId="3" borderId="6" xfId="2" applyNumberFormat="1" applyFont="1" applyFill="1" applyBorder="1" applyAlignment="1">
      <alignment horizontal="center" vertical="center"/>
    </xf>
    <xf numFmtId="0" fontId="8" fillId="2" borderId="0" xfId="2" applyFont="1" applyFill="1" applyBorder="1" applyAlignment="1">
      <alignment horizontal="center" vertical="center"/>
    </xf>
    <xf numFmtId="2" fontId="8" fillId="0" borderId="0" xfId="2" applyNumberFormat="1" applyFont="1" applyAlignment="1">
      <alignment horizontal="center" vertical="center"/>
    </xf>
    <xf numFmtId="0" fontId="8" fillId="0" borderId="3" xfId="2" applyFont="1" applyBorder="1" applyAlignment="1">
      <alignment horizontal="left" vertical="center"/>
    </xf>
    <xf numFmtId="0" fontId="4" fillId="0" borderId="3" xfId="2" applyFont="1" applyBorder="1" applyAlignment="1">
      <alignment horizontal="center" vertical="center"/>
    </xf>
    <xf numFmtId="1" fontId="8" fillId="0" borderId="3" xfId="2" applyNumberFormat="1" applyFont="1" applyBorder="1" applyAlignment="1">
      <alignment horizontal="center" vertical="center"/>
    </xf>
    <xf numFmtId="0" fontId="4" fillId="0" borderId="23" xfId="2" applyFont="1" applyBorder="1" applyAlignment="1">
      <alignment horizontal="center" vertical="center"/>
    </xf>
    <xf numFmtId="2" fontId="8" fillId="0" borderId="0" xfId="2" applyNumberFormat="1" applyFont="1" applyBorder="1" applyAlignment="1">
      <alignment horizontal="center" vertical="center"/>
    </xf>
    <xf numFmtId="1" fontId="8" fillId="0" borderId="0" xfId="2" applyNumberFormat="1" applyFont="1" applyBorder="1" applyAlignment="1">
      <alignment horizontal="center" vertical="center"/>
    </xf>
    <xf numFmtId="0" fontId="8" fillId="0" borderId="0" xfId="2" applyFont="1" applyFill="1" applyBorder="1" applyAlignment="1">
      <alignment horizontal="center" vertical="center"/>
    </xf>
    <xf numFmtId="165" fontId="6" fillId="2" borderId="0" xfId="2" applyNumberFormat="1" applyFont="1" applyFill="1" applyBorder="1" applyAlignment="1">
      <alignment horizontal="center" vertical="center"/>
    </xf>
    <xf numFmtId="0" fontId="6" fillId="0" borderId="0" xfId="2" applyFont="1" applyBorder="1" applyAlignment="1">
      <alignment horizontal="left" vertical="center"/>
    </xf>
    <xf numFmtId="0" fontId="8" fillId="5" borderId="3" xfId="2" applyFont="1" applyFill="1" applyBorder="1" applyAlignment="1">
      <alignment horizontal="center" vertical="center" textRotation="90" wrapText="1"/>
    </xf>
    <xf numFmtId="0" fontId="8" fillId="5" borderId="0" xfId="2" applyFont="1" applyFill="1" applyBorder="1" applyAlignment="1">
      <alignment horizontal="center" vertical="center" textRotation="90" wrapText="1"/>
    </xf>
    <xf numFmtId="0" fontId="8" fillId="5" borderId="16" xfId="2" applyFont="1" applyFill="1" applyBorder="1" applyAlignment="1">
      <alignment horizontal="center" vertical="center" textRotation="90" wrapText="1"/>
    </xf>
    <xf numFmtId="0" fontId="15" fillId="0" borderId="10" xfId="2" applyFont="1" applyBorder="1" applyAlignment="1">
      <alignment horizontal="center" vertical="center"/>
    </xf>
    <xf numFmtId="0" fontId="15" fillId="0" borderId="11" xfId="2" applyFont="1" applyBorder="1" applyAlignment="1">
      <alignment horizontal="center" vertical="center"/>
    </xf>
    <xf numFmtId="0" fontId="15" fillId="4" borderId="10" xfId="2" applyFont="1" applyFill="1" applyBorder="1" applyAlignment="1">
      <alignment horizontal="center" vertical="center"/>
    </xf>
    <xf numFmtId="0" fontId="15" fillId="4" borderId="11" xfId="2" applyFont="1" applyFill="1" applyBorder="1" applyAlignment="1">
      <alignment horizontal="center" vertical="center"/>
    </xf>
    <xf numFmtId="0" fontId="4" fillId="0" borderId="10" xfId="1" applyFont="1" applyBorder="1" applyAlignment="1">
      <alignment horizontal="center" vertical="center"/>
    </xf>
    <xf numFmtId="0" fontId="4" fillId="0" borderId="17" xfId="1" applyFont="1" applyBorder="1" applyAlignment="1">
      <alignment horizontal="center" vertical="center"/>
    </xf>
    <xf numFmtId="0" fontId="4" fillId="0" borderId="11" xfId="1" applyFont="1" applyBorder="1" applyAlignment="1">
      <alignment horizontal="center" vertical="center"/>
    </xf>
    <xf numFmtId="0" fontId="15" fillId="0" borderId="17" xfId="2" applyFont="1" applyBorder="1" applyAlignment="1">
      <alignment horizontal="center" vertical="center"/>
    </xf>
    <xf numFmtId="0" fontId="8" fillId="5" borderId="21" xfId="2" applyFont="1" applyFill="1" applyBorder="1" applyAlignment="1">
      <alignment horizontal="center" vertical="center" textRotation="90" wrapText="1"/>
    </xf>
    <xf numFmtId="0" fontId="8" fillId="5" borderId="20" xfId="2" applyFont="1" applyFill="1" applyBorder="1" applyAlignment="1">
      <alignment horizontal="center" vertical="center" textRotation="90" wrapText="1"/>
    </xf>
    <xf numFmtId="0" fontId="8" fillId="5" borderId="23" xfId="2" applyFont="1" applyFill="1" applyBorder="1" applyAlignment="1">
      <alignment horizontal="center" vertical="center" textRotation="90" wrapText="1"/>
    </xf>
    <xf numFmtId="0" fontId="8" fillId="5" borderId="15" xfId="2" applyFont="1" applyFill="1" applyBorder="1" applyAlignment="1">
      <alignment horizontal="center" vertical="center" textRotation="90" wrapText="1"/>
    </xf>
    <xf numFmtId="0" fontId="15" fillId="0" borderId="2" xfId="2" applyFont="1" applyBorder="1" applyAlignment="1">
      <alignment horizontal="center" vertical="center"/>
    </xf>
    <xf numFmtId="0" fontId="15" fillId="0" borderId="4" xfId="2" applyFont="1" applyBorder="1" applyAlignment="1">
      <alignment horizontal="center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sigma-epsilon</c:v>
          </c:tx>
          <c:spPr>
            <a:ln w="1905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's-e Lin'!$A$2:$A$1000</c:f>
              <c:numCache>
                <c:formatCode>0</c:formatCode>
                <c:ptCount val="999"/>
                <c:pt idx="0">
                  <c:v>0</c:v>
                </c:pt>
                <c:pt idx="1">
                  <c:v>-10</c:v>
                </c:pt>
                <c:pt idx="2">
                  <c:v>-20</c:v>
                </c:pt>
                <c:pt idx="3">
                  <c:v>-30</c:v>
                </c:pt>
                <c:pt idx="4">
                  <c:v>-40</c:v>
                </c:pt>
                <c:pt idx="5">
                  <c:v>-50</c:v>
                </c:pt>
                <c:pt idx="6">
                  <c:v>-60</c:v>
                </c:pt>
                <c:pt idx="7">
                  <c:v>-70</c:v>
                </c:pt>
                <c:pt idx="8">
                  <c:v>-80</c:v>
                </c:pt>
                <c:pt idx="9">
                  <c:v>-90</c:v>
                </c:pt>
                <c:pt idx="10">
                  <c:v>-100</c:v>
                </c:pt>
                <c:pt idx="11">
                  <c:v>-110</c:v>
                </c:pt>
                <c:pt idx="12">
                  <c:v>-120</c:v>
                </c:pt>
                <c:pt idx="13">
                  <c:v>-130</c:v>
                </c:pt>
                <c:pt idx="14">
                  <c:v>-140</c:v>
                </c:pt>
                <c:pt idx="15">
                  <c:v>-150</c:v>
                </c:pt>
                <c:pt idx="16">
                  <c:v>-160</c:v>
                </c:pt>
                <c:pt idx="17">
                  <c:v>-170</c:v>
                </c:pt>
                <c:pt idx="18">
                  <c:v>-180</c:v>
                </c:pt>
                <c:pt idx="19">
                  <c:v>-190</c:v>
                </c:pt>
                <c:pt idx="20">
                  <c:v>-200</c:v>
                </c:pt>
                <c:pt idx="21">
                  <c:v>-210</c:v>
                </c:pt>
                <c:pt idx="22">
                  <c:v>-220</c:v>
                </c:pt>
                <c:pt idx="23">
                  <c:v>-230</c:v>
                </c:pt>
                <c:pt idx="24">
                  <c:v>-240</c:v>
                </c:pt>
                <c:pt idx="25">
                  <c:v>-250</c:v>
                </c:pt>
                <c:pt idx="26">
                  <c:v>-260</c:v>
                </c:pt>
                <c:pt idx="27">
                  <c:v>-270</c:v>
                </c:pt>
                <c:pt idx="28">
                  <c:v>-280</c:v>
                </c:pt>
                <c:pt idx="29">
                  <c:v>-290</c:v>
                </c:pt>
                <c:pt idx="30">
                  <c:v>-300</c:v>
                </c:pt>
                <c:pt idx="31">
                  <c:v>-310</c:v>
                </c:pt>
                <c:pt idx="32">
                  <c:v>-320</c:v>
                </c:pt>
                <c:pt idx="33">
                  <c:v>-330</c:v>
                </c:pt>
                <c:pt idx="34">
                  <c:v>-340</c:v>
                </c:pt>
                <c:pt idx="35">
                  <c:v>-350</c:v>
                </c:pt>
                <c:pt idx="36">
                  <c:v>-360</c:v>
                </c:pt>
                <c:pt idx="37">
                  <c:v>-370</c:v>
                </c:pt>
                <c:pt idx="38">
                  <c:v>-380</c:v>
                </c:pt>
                <c:pt idx="39">
                  <c:v>-390</c:v>
                </c:pt>
                <c:pt idx="40">
                  <c:v>-400</c:v>
                </c:pt>
                <c:pt idx="41">
                  <c:v>-410</c:v>
                </c:pt>
                <c:pt idx="42">
                  <c:v>-420</c:v>
                </c:pt>
                <c:pt idx="43">
                  <c:v>-430</c:v>
                </c:pt>
                <c:pt idx="44">
                  <c:v>-440</c:v>
                </c:pt>
                <c:pt idx="45">
                  <c:v>-450</c:v>
                </c:pt>
                <c:pt idx="46">
                  <c:v>-460</c:v>
                </c:pt>
                <c:pt idx="47">
                  <c:v>-470</c:v>
                </c:pt>
                <c:pt idx="48">
                  <c:v>-480</c:v>
                </c:pt>
                <c:pt idx="49">
                  <c:v>-490</c:v>
                </c:pt>
                <c:pt idx="50">
                  <c:v>-500</c:v>
                </c:pt>
                <c:pt idx="51">
                  <c:v>-510</c:v>
                </c:pt>
                <c:pt idx="52">
                  <c:v>-520</c:v>
                </c:pt>
                <c:pt idx="53">
                  <c:v>-530</c:v>
                </c:pt>
                <c:pt idx="54">
                  <c:v>-540</c:v>
                </c:pt>
                <c:pt idx="55">
                  <c:v>-550</c:v>
                </c:pt>
                <c:pt idx="56">
                  <c:v>-560</c:v>
                </c:pt>
                <c:pt idx="57">
                  <c:v>-570</c:v>
                </c:pt>
                <c:pt idx="58">
                  <c:v>-580</c:v>
                </c:pt>
                <c:pt idx="59">
                  <c:v>-590</c:v>
                </c:pt>
                <c:pt idx="60">
                  <c:v>-600</c:v>
                </c:pt>
                <c:pt idx="61">
                  <c:v>-590</c:v>
                </c:pt>
                <c:pt idx="62">
                  <c:v>-580</c:v>
                </c:pt>
                <c:pt idx="63">
                  <c:v>-570</c:v>
                </c:pt>
                <c:pt idx="64">
                  <c:v>-560</c:v>
                </c:pt>
                <c:pt idx="65">
                  <c:v>-550</c:v>
                </c:pt>
                <c:pt idx="66">
                  <c:v>-540</c:v>
                </c:pt>
                <c:pt idx="67">
                  <c:v>-530</c:v>
                </c:pt>
                <c:pt idx="68">
                  <c:v>-520</c:v>
                </c:pt>
                <c:pt idx="69">
                  <c:v>-510</c:v>
                </c:pt>
                <c:pt idx="70">
                  <c:v>-500</c:v>
                </c:pt>
                <c:pt idx="71">
                  <c:v>-490</c:v>
                </c:pt>
                <c:pt idx="72">
                  <c:v>-480</c:v>
                </c:pt>
                <c:pt idx="73">
                  <c:v>-470</c:v>
                </c:pt>
                <c:pt idx="74">
                  <c:v>-460</c:v>
                </c:pt>
                <c:pt idx="75">
                  <c:v>-450</c:v>
                </c:pt>
                <c:pt idx="76">
                  <c:v>-440</c:v>
                </c:pt>
                <c:pt idx="77">
                  <c:v>-430</c:v>
                </c:pt>
                <c:pt idx="78">
                  <c:v>-420</c:v>
                </c:pt>
                <c:pt idx="79">
                  <c:v>-410</c:v>
                </c:pt>
                <c:pt idx="80">
                  <c:v>-400</c:v>
                </c:pt>
                <c:pt idx="81">
                  <c:v>-390</c:v>
                </c:pt>
                <c:pt idx="82">
                  <c:v>-380</c:v>
                </c:pt>
                <c:pt idx="83">
                  <c:v>-370</c:v>
                </c:pt>
                <c:pt idx="84">
                  <c:v>-360</c:v>
                </c:pt>
                <c:pt idx="85">
                  <c:v>-350</c:v>
                </c:pt>
                <c:pt idx="86">
                  <c:v>-340</c:v>
                </c:pt>
                <c:pt idx="87">
                  <c:v>-330</c:v>
                </c:pt>
                <c:pt idx="88">
                  <c:v>-320</c:v>
                </c:pt>
                <c:pt idx="89">
                  <c:v>-310</c:v>
                </c:pt>
                <c:pt idx="90">
                  <c:v>-300</c:v>
                </c:pt>
                <c:pt idx="91">
                  <c:v>-290</c:v>
                </c:pt>
                <c:pt idx="92">
                  <c:v>-280</c:v>
                </c:pt>
                <c:pt idx="93">
                  <c:v>-270</c:v>
                </c:pt>
                <c:pt idx="94">
                  <c:v>-260</c:v>
                </c:pt>
                <c:pt idx="95">
                  <c:v>-250</c:v>
                </c:pt>
                <c:pt idx="96">
                  <c:v>-240</c:v>
                </c:pt>
                <c:pt idx="97">
                  <c:v>-230</c:v>
                </c:pt>
                <c:pt idx="98">
                  <c:v>-220</c:v>
                </c:pt>
                <c:pt idx="99">
                  <c:v>-210</c:v>
                </c:pt>
                <c:pt idx="100">
                  <c:v>-200</c:v>
                </c:pt>
                <c:pt idx="101">
                  <c:v>-190</c:v>
                </c:pt>
                <c:pt idx="102">
                  <c:v>-180</c:v>
                </c:pt>
                <c:pt idx="103">
                  <c:v>-170</c:v>
                </c:pt>
                <c:pt idx="104">
                  <c:v>-160</c:v>
                </c:pt>
                <c:pt idx="105">
                  <c:v>-150</c:v>
                </c:pt>
                <c:pt idx="106">
                  <c:v>-140</c:v>
                </c:pt>
                <c:pt idx="107">
                  <c:v>-130</c:v>
                </c:pt>
                <c:pt idx="108">
                  <c:v>-120</c:v>
                </c:pt>
                <c:pt idx="109">
                  <c:v>-110</c:v>
                </c:pt>
                <c:pt idx="110">
                  <c:v>-100</c:v>
                </c:pt>
                <c:pt idx="111">
                  <c:v>-90</c:v>
                </c:pt>
                <c:pt idx="112">
                  <c:v>-80</c:v>
                </c:pt>
                <c:pt idx="113">
                  <c:v>-70</c:v>
                </c:pt>
                <c:pt idx="114">
                  <c:v>-60</c:v>
                </c:pt>
                <c:pt idx="115">
                  <c:v>-50</c:v>
                </c:pt>
                <c:pt idx="116">
                  <c:v>-40</c:v>
                </c:pt>
                <c:pt idx="117">
                  <c:v>-30</c:v>
                </c:pt>
                <c:pt idx="118">
                  <c:v>-20</c:v>
                </c:pt>
                <c:pt idx="119">
                  <c:v>-10</c:v>
                </c:pt>
                <c:pt idx="120">
                  <c:v>0</c:v>
                </c:pt>
                <c:pt idx="121">
                  <c:v>10</c:v>
                </c:pt>
                <c:pt idx="122">
                  <c:v>20</c:v>
                </c:pt>
                <c:pt idx="123">
                  <c:v>30</c:v>
                </c:pt>
                <c:pt idx="124">
                  <c:v>40</c:v>
                </c:pt>
                <c:pt idx="125">
                  <c:v>50</c:v>
                </c:pt>
                <c:pt idx="126">
                  <c:v>60</c:v>
                </c:pt>
                <c:pt idx="127">
                  <c:v>70</c:v>
                </c:pt>
                <c:pt idx="128">
                  <c:v>80</c:v>
                </c:pt>
                <c:pt idx="129">
                  <c:v>90</c:v>
                </c:pt>
                <c:pt idx="130">
                  <c:v>100</c:v>
                </c:pt>
                <c:pt idx="131">
                  <c:v>110</c:v>
                </c:pt>
                <c:pt idx="132">
                  <c:v>120</c:v>
                </c:pt>
                <c:pt idx="133">
                  <c:v>130</c:v>
                </c:pt>
                <c:pt idx="134">
                  <c:v>140</c:v>
                </c:pt>
                <c:pt idx="135">
                  <c:v>150</c:v>
                </c:pt>
                <c:pt idx="136">
                  <c:v>160</c:v>
                </c:pt>
                <c:pt idx="137">
                  <c:v>170</c:v>
                </c:pt>
                <c:pt idx="138">
                  <c:v>180</c:v>
                </c:pt>
                <c:pt idx="139">
                  <c:v>190</c:v>
                </c:pt>
                <c:pt idx="140">
                  <c:v>200</c:v>
                </c:pt>
                <c:pt idx="141">
                  <c:v>190</c:v>
                </c:pt>
                <c:pt idx="142">
                  <c:v>180</c:v>
                </c:pt>
                <c:pt idx="143">
                  <c:v>170</c:v>
                </c:pt>
                <c:pt idx="144">
                  <c:v>160</c:v>
                </c:pt>
                <c:pt idx="145">
                  <c:v>150</c:v>
                </c:pt>
                <c:pt idx="146">
                  <c:v>140</c:v>
                </c:pt>
                <c:pt idx="147">
                  <c:v>130</c:v>
                </c:pt>
                <c:pt idx="148">
                  <c:v>120</c:v>
                </c:pt>
                <c:pt idx="149">
                  <c:v>110</c:v>
                </c:pt>
                <c:pt idx="150">
                  <c:v>100</c:v>
                </c:pt>
                <c:pt idx="151">
                  <c:v>90</c:v>
                </c:pt>
                <c:pt idx="152">
                  <c:v>80</c:v>
                </c:pt>
                <c:pt idx="153">
                  <c:v>70</c:v>
                </c:pt>
                <c:pt idx="154">
                  <c:v>60</c:v>
                </c:pt>
                <c:pt idx="155">
                  <c:v>50</c:v>
                </c:pt>
                <c:pt idx="156">
                  <c:v>40</c:v>
                </c:pt>
                <c:pt idx="157">
                  <c:v>30</c:v>
                </c:pt>
                <c:pt idx="158">
                  <c:v>20</c:v>
                </c:pt>
                <c:pt idx="159">
                  <c:v>10</c:v>
                </c:pt>
                <c:pt idx="160">
                  <c:v>0</c:v>
                </c:pt>
                <c:pt idx="161">
                  <c:v>-10</c:v>
                </c:pt>
                <c:pt idx="162">
                  <c:v>-20</c:v>
                </c:pt>
                <c:pt idx="163">
                  <c:v>-30</c:v>
                </c:pt>
                <c:pt idx="164">
                  <c:v>-40</c:v>
                </c:pt>
                <c:pt idx="165">
                  <c:v>-50</c:v>
                </c:pt>
                <c:pt idx="166">
                  <c:v>-60</c:v>
                </c:pt>
                <c:pt idx="167">
                  <c:v>-70</c:v>
                </c:pt>
                <c:pt idx="168">
                  <c:v>-80</c:v>
                </c:pt>
                <c:pt idx="169">
                  <c:v>-90</c:v>
                </c:pt>
                <c:pt idx="170">
                  <c:v>-100</c:v>
                </c:pt>
                <c:pt idx="171">
                  <c:v>-110</c:v>
                </c:pt>
                <c:pt idx="172">
                  <c:v>-120</c:v>
                </c:pt>
                <c:pt idx="173">
                  <c:v>-130</c:v>
                </c:pt>
                <c:pt idx="174">
                  <c:v>-140</c:v>
                </c:pt>
                <c:pt idx="175">
                  <c:v>-150</c:v>
                </c:pt>
                <c:pt idx="176">
                  <c:v>-160</c:v>
                </c:pt>
                <c:pt idx="177">
                  <c:v>-170</c:v>
                </c:pt>
                <c:pt idx="178">
                  <c:v>-180</c:v>
                </c:pt>
                <c:pt idx="179">
                  <c:v>-190</c:v>
                </c:pt>
                <c:pt idx="180">
                  <c:v>-200</c:v>
                </c:pt>
                <c:pt idx="181">
                  <c:v>-190</c:v>
                </c:pt>
                <c:pt idx="182">
                  <c:v>-180</c:v>
                </c:pt>
                <c:pt idx="183">
                  <c:v>-170</c:v>
                </c:pt>
                <c:pt idx="184">
                  <c:v>-160</c:v>
                </c:pt>
                <c:pt idx="185">
                  <c:v>-150</c:v>
                </c:pt>
                <c:pt idx="186">
                  <c:v>-140</c:v>
                </c:pt>
                <c:pt idx="187">
                  <c:v>-130</c:v>
                </c:pt>
                <c:pt idx="188">
                  <c:v>-120</c:v>
                </c:pt>
                <c:pt idx="189">
                  <c:v>-110</c:v>
                </c:pt>
                <c:pt idx="190">
                  <c:v>-100</c:v>
                </c:pt>
                <c:pt idx="191">
                  <c:v>-90</c:v>
                </c:pt>
                <c:pt idx="192">
                  <c:v>-80</c:v>
                </c:pt>
                <c:pt idx="193">
                  <c:v>-70</c:v>
                </c:pt>
                <c:pt idx="194">
                  <c:v>-60</c:v>
                </c:pt>
                <c:pt idx="195">
                  <c:v>-50</c:v>
                </c:pt>
                <c:pt idx="196">
                  <c:v>-40</c:v>
                </c:pt>
                <c:pt idx="197">
                  <c:v>-30</c:v>
                </c:pt>
                <c:pt idx="198">
                  <c:v>-20</c:v>
                </c:pt>
                <c:pt idx="199">
                  <c:v>-10</c:v>
                </c:pt>
                <c:pt idx="200">
                  <c:v>0</c:v>
                </c:pt>
                <c:pt idx="201">
                  <c:v>10</c:v>
                </c:pt>
                <c:pt idx="202">
                  <c:v>20</c:v>
                </c:pt>
                <c:pt idx="203">
                  <c:v>30</c:v>
                </c:pt>
                <c:pt idx="204">
                  <c:v>40</c:v>
                </c:pt>
                <c:pt idx="205">
                  <c:v>50</c:v>
                </c:pt>
                <c:pt idx="206">
                  <c:v>60</c:v>
                </c:pt>
                <c:pt idx="207">
                  <c:v>70</c:v>
                </c:pt>
                <c:pt idx="208">
                  <c:v>80</c:v>
                </c:pt>
                <c:pt idx="209">
                  <c:v>90</c:v>
                </c:pt>
                <c:pt idx="210">
                  <c:v>100</c:v>
                </c:pt>
                <c:pt idx="211">
                  <c:v>110</c:v>
                </c:pt>
                <c:pt idx="212">
                  <c:v>120</c:v>
                </c:pt>
                <c:pt idx="213">
                  <c:v>130</c:v>
                </c:pt>
                <c:pt idx="214">
                  <c:v>140</c:v>
                </c:pt>
                <c:pt idx="215">
                  <c:v>150</c:v>
                </c:pt>
                <c:pt idx="216">
                  <c:v>160</c:v>
                </c:pt>
                <c:pt idx="217">
                  <c:v>170</c:v>
                </c:pt>
                <c:pt idx="218">
                  <c:v>180</c:v>
                </c:pt>
                <c:pt idx="219">
                  <c:v>190</c:v>
                </c:pt>
                <c:pt idx="220">
                  <c:v>200</c:v>
                </c:pt>
                <c:pt idx="221">
                  <c:v>210</c:v>
                </c:pt>
                <c:pt idx="222">
                  <c:v>220</c:v>
                </c:pt>
                <c:pt idx="223">
                  <c:v>230</c:v>
                </c:pt>
                <c:pt idx="224">
                  <c:v>240</c:v>
                </c:pt>
                <c:pt idx="225">
                  <c:v>250</c:v>
                </c:pt>
                <c:pt idx="226">
                  <c:v>260</c:v>
                </c:pt>
                <c:pt idx="227">
                  <c:v>270</c:v>
                </c:pt>
                <c:pt idx="228">
                  <c:v>280</c:v>
                </c:pt>
                <c:pt idx="229">
                  <c:v>290</c:v>
                </c:pt>
                <c:pt idx="230">
                  <c:v>300</c:v>
                </c:pt>
                <c:pt idx="231">
                  <c:v>310</c:v>
                </c:pt>
                <c:pt idx="232">
                  <c:v>320</c:v>
                </c:pt>
                <c:pt idx="233">
                  <c:v>330</c:v>
                </c:pt>
                <c:pt idx="234">
                  <c:v>340</c:v>
                </c:pt>
                <c:pt idx="235">
                  <c:v>350</c:v>
                </c:pt>
                <c:pt idx="236">
                  <c:v>360</c:v>
                </c:pt>
                <c:pt idx="237">
                  <c:v>370</c:v>
                </c:pt>
                <c:pt idx="238">
                  <c:v>380</c:v>
                </c:pt>
                <c:pt idx="239">
                  <c:v>390</c:v>
                </c:pt>
                <c:pt idx="240">
                  <c:v>400</c:v>
                </c:pt>
                <c:pt idx="241">
                  <c:v>390</c:v>
                </c:pt>
                <c:pt idx="242">
                  <c:v>380</c:v>
                </c:pt>
                <c:pt idx="243">
                  <c:v>370</c:v>
                </c:pt>
                <c:pt idx="244">
                  <c:v>360</c:v>
                </c:pt>
                <c:pt idx="245">
                  <c:v>350</c:v>
                </c:pt>
                <c:pt idx="246">
                  <c:v>340</c:v>
                </c:pt>
                <c:pt idx="247">
                  <c:v>330</c:v>
                </c:pt>
                <c:pt idx="248">
                  <c:v>320</c:v>
                </c:pt>
                <c:pt idx="249">
                  <c:v>310</c:v>
                </c:pt>
                <c:pt idx="250">
                  <c:v>300</c:v>
                </c:pt>
                <c:pt idx="251">
                  <c:v>290</c:v>
                </c:pt>
                <c:pt idx="252">
                  <c:v>280</c:v>
                </c:pt>
                <c:pt idx="253">
                  <c:v>270</c:v>
                </c:pt>
                <c:pt idx="254">
                  <c:v>260</c:v>
                </c:pt>
                <c:pt idx="255">
                  <c:v>250</c:v>
                </c:pt>
                <c:pt idx="256">
                  <c:v>240</c:v>
                </c:pt>
                <c:pt idx="257">
                  <c:v>230</c:v>
                </c:pt>
                <c:pt idx="258">
                  <c:v>220</c:v>
                </c:pt>
                <c:pt idx="259">
                  <c:v>210</c:v>
                </c:pt>
                <c:pt idx="260">
                  <c:v>200</c:v>
                </c:pt>
                <c:pt idx="261">
                  <c:v>190</c:v>
                </c:pt>
                <c:pt idx="262">
                  <c:v>180</c:v>
                </c:pt>
                <c:pt idx="263">
                  <c:v>170</c:v>
                </c:pt>
                <c:pt idx="264">
                  <c:v>160</c:v>
                </c:pt>
                <c:pt idx="265">
                  <c:v>150</c:v>
                </c:pt>
                <c:pt idx="266">
                  <c:v>140</c:v>
                </c:pt>
                <c:pt idx="267">
                  <c:v>130</c:v>
                </c:pt>
                <c:pt idx="268">
                  <c:v>120</c:v>
                </c:pt>
                <c:pt idx="269">
                  <c:v>110</c:v>
                </c:pt>
                <c:pt idx="270">
                  <c:v>100</c:v>
                </c:pt>
                <c:pt idx="271">
                  <c:v>90</c:v>
                </c:pt>
                <c:pt idx="272">
                  <c:v>80</c:v>
                </c:pt>
                <c:pt idx="273">
                  <c:v>70</c:v>
                </c:pt>
                <c:pt idx="274">
                  <c:v>60</c:v>
                </c:pt>
                <c:pt idx="275">
                  <c:v>50</c:v>
                </c:pt>
                <c:pt idx="276">
                  <c:v>40</c:v>
                </c:pt>
                <c:pt idx="277">
                  <c:v>30</c:v>
                </c:pt>
                <c:pt idx="278">
                  <c:v>20</c:v>
                </c:pt>
                <c:pt idx="279">
                  <c:v>10</c:v>
                </c:pt>
                <c:pt idx="280">
                  <c:v>0</c:v>
                </c:pt>
                <c:pt idx="281">
                  <c:v>-10</c:v>
                </c:pt>
                <c:pt idx="282">
                  <c:v>-20</c:v>
                </c:pt>
                <c:pt idx="283">
                  <c:v>-30</c:v>
                </c:pt>
                <c:pt idx="284">
                  <c:v>-40</c:v>
                </c:pt>
                <c:pt idx="285">
                  <c:v>-50</c:v>
                </c:pt>
                <c:pt idx="286">
                  <c:v>-60</c:v>
                </c:pt>
                <c:pt idx="287">
                  <c:v>-70</c:v>
                </c:pt>
                <c:pt idx="288">
                  <c:v>-80</c:v>
                </c:pt>
                <c:pt idx="289">
                  <c:v>-90</c:v>
                </c:pt>
                <c:pt idx="290">
                  <c:v>-100</c:v>
                </c:pt>
                <c:pt idx="291">
                  <c:v>-110</c:v>
                </c:pt>
                <c:pt idx="292">
                  <c:v>-120</c:v>
                </c:pt>
                <c:pt idx="293">
                  <c:v>-130</c:v>
                </c:pt>
                <c:pt idx="294">
                  <c:v>-140</c:v>
                </c:pt>
                <c:pt idx="295">
                  <c:v>-150</c:v>
                </c:pt>
                <c:pt idx="296">
                  <c:v>-160</c:v>
                </c:pt>
                <c:pt idx="297">
                  <c:v>-170</c:v>
                </c:pt>
                <c:pt idx="298">
                  <c:v>-180</c:v>
                </c:pt>
                <c:pt idx="299">
                  <c:v>-190</c:v>
                </c:pt>
                <c:pt idx="300">
                  <c:v>-200</c:v>
                </c:pt>
                <c:pt idx="301">
                  <c:v>-190</c:v>
                </c:pt>
                <c:pt idx="302">
                  <c:v>-180</c:v>
                </c:pt>
                <c:pt idx="303">
                  <c:v>-170</c:v>
                </c:pt>
                <c:pt idx="304">
                  <c:v>-160</c:v>
                </c:pt>
                <c:pt idx="305">
                  <c:v>-150</c:v>
                </c:pt>
                <c:pt idx="306">
                  <c:v>-140</c:v>
                </c:pt>
                <c:pt idx="307">
                  <c:v>-130</c:v>
                </c:pt>
                <c:pt idx="308">
                  <c:v>-120</c:v>
                </c:pt>
                <c:pt idx="309">
                  <c:v>-110</c:v>
                </c:pt>
                <c:pt idx="310">
                  <c:v>-100</c:v>
                </c:pt>
                <c:pt idx="311">
                  <c:v>-90</c:v>
                </c:pt>
                <c:pt idx="312">
                  <c:v>-80</c:v>
                </c:pt>
                <c:pt idx="313">
                  <c:v>-70</c:v>
                </c:pt>
                <c:pt idx="314">
                  <c:v>-60</c:v>
                </c:pt>
                <c:pt idx="315">
                  <c:v>-50</c:v>
                </c:pt>
                <c:pt idx="316">
                  <c:v>-40</c:v>
                </c:pt>
                <c:pt idx="317">
                  <c:v>-30</c:v>
                </c:pt>
                <c:pt idx="318">
                  <c:v>-20</c:v>
                </c:pt>
                <c:pt idx="319">
                  <c:v>-10</c:v>
                </c:pt>
                <c:pt idx="320">
                  <c:v>0</c:v>
                </c:pt>
                <c:pt idx="321">
                  <c:v>10</c:v>
                </c:pt>
                <c:pt idx="322">
                  <c:v>20</c:v>
                </c:pt>
                <c:pt idx="323">
                  <c:v>30</c:v>
                </c:pt>
                <c:pt idx="324">
                  <c:v>40</c:v>
                </c:pt>
                <c:pt idx="325">
                  <c:v>50</c:v>
                </c:pt>
                <c:pt idx="326">
                  <c:v>60</c:v>
                </c:pt>
                <c:pt idx="327">
                  <c:v>70</c:v>
                </c:pt>
                <c:pt idx="328">
                  <c:v>80</c:v>
                </c:pt>
                <c:pt idx="329">
                  <c:v>90</c:v>
                </c:pt>
                <c:pt idx="330">
                  <c:v>100</c:v>
                </c:pt>
                <c:pt idx="331">
                  <c:v>110</c:v>
                </c:pt>
                <c:pt idx="332">
                  <c:v>120</c:v>
                </c:pt>
                <c:pt idx="333">
                  <c:v>130</c:v>
                </c:pt>
                <c:pt idx="334">
                  <c:v>140</c:v>
                </c:pt>
                <c:pt idx="335">
                  <c:v>150</c:v>
                </c:pt>
                <c:pt idx="336">
                  <c:v>160</c:v>
                </c:pt>
                <c:pt idx="337">
                  <c:v>170</c:v>
                </c:pt>
                <c:pt idx="338">
                  <c:v>180</c:v>
                </c:pt>
                <c:pt idx="339">
                  <c:v>190</c:v>
                </c:pt>
                <c:pt idx="340">
                  <c:v>200</c:v>
                </c:pt>
                <c:pt idx="341">
                  <c:v>210</c:v>
                </c:pt>
                <c:pt idx="342">
                  <c:v>220</c:v>
                </c:pt>
                <c:pt idx="343">
                  <c:v>230</c:v>
                </c:pt>
                <c:pt idx="344">
                  <c:v>240</c:v>
                </c:pt>
                <c:pt idx="345">
                  <c:v>250</c:v>
                </c:pt>
                <c:pt idx="346">
                  <c:v>260</c:v>
                </c:pt>
                <c:pt idx="347">
                  <c:v>270</c:v>
                </c:pt>
                <c:pt idx="348">
                  <c:v>280</c:v>
                </c:pt>
                <c:pt idx="349">
                  <c:v>290</c:v>
                </c:pt>
                <c:pt idx="350">
                  <c:v>300</c:v>
                </c:pt>
                <c:pt idx="351">
                  <c:v>310</c:v>
                </c:pt>
                <c:pt idx="352">
                  <c:v>320</c:v>
                </c:pt>
                <c:pt idx="353">
                  <c:v>330</c:v>
                </c:pt>
                <c:pt idx="354">
                  <c:v>340</c:v>
                </c:pt>
                <c:pt idx="355">
                  <c:v>350</c:v>
                </c:pt>
                <c:pt idx="356">
                  <c:v>360</c:v>
                </c:pt>
                <c:pt idx="357">
                  <c:v>370</c:v>
                </c:pt>
                <c:pt idx="358">
                  <c:v>380</c:v>
                </c:pt>
                <c:pt idx="359">
                  <c:v>390</c:v>
                </c:pt>
                <c:pt idx="360">
                  <c:v>400</c:v>
                </c:pt>
                <c:pt idx="361">
                  <c:v>410</c:v>
                </c:pt>
                <c:pt idx="362">
                  <c:v>420</c:v>
                </c:pt>
                <c:pt idx="363">
                  <c:v>430</c:v>
                </c:pt>
                <c:pt idx="364">
                  <c:v>440</c:v>
                </c:pt>
                <c:pt idx="365">
                  <c:v>450</c:v>
                </c:pt>
                <c:pt idx="366">
                  <c:v>460</c:v>
                </c:pt>
                <c:pt idx="367">
                  <c:v>470</c:v>
                </c:pt>
                <c:pt idx="368">
                  <c:v>480</c:v>
                </c:pt>
                <c:pt idx="369">
                  <c:v>490</c:v>
                </c:pt>
                <c:pt idx="370">
                  <c:v>500</c:v>
                </c:pt>
                <c:pt idx="371">
                  <c:v>510</c:v>
                </c:pt>
                <c:pt idx="372">
                  <c:v>520</c:v>
                </c:pt>
                <c:pt idx="373">
                  <c:v>530</c:v>
                </c:pt>
                <c:pt idx="374">
                  <c:v>540</c:v>
                </c:pt>
                <c:pt idx="375">
                  <c:v>550</c:v>
                </c:pt>
                <c:pt idx="376">
                  <c:v>560</c:v>
                </c:pt>
                <c:pt idx="377">
                  <c:v>570</c:v>
                </c:pt>
                <c:pt idx="378">
                  <c:v>580</c:v>
                </c:pt>
                <c:pt idx="379">
                  <c:v>590</c:v>
                </c:pt>
                <c:pt idx="380">
                  <c:v>600</c:v>
                </c:pt>
              </c:numCache>
            </c:numRef>
          </c:xVal>
          <c:yVal>
            <c:numRef>
              <c:f>'s-e Lin'!$B$2:$B$1000</c:f>
              <c:numCache>
                <c:formatCode>0.000</c:formatCode>
                <c:ptCount val="999"/>
                <c:pt idx="0">
                  <c:v>0</c:v>
                </c:pt>
                <c:pt idx="1">
                  <c:v>-0.05</c:v>
                </c:pt>
                <c:pt idx="2">
                  <c:v>-0.1</c:v>
                </c:pt>
                <c:pt idx="3">
                  <c:v>-0.15</c:v>
                </c:pt>
                <c:pt idx="4">
                  <c:v>-0.2</c:v>
                </c:pt>
                <c:pt idx="5">
                  <c:v>-0.25</c:v>
                </c:pt>
                <c:pt idx="6">
                  <c:v>-0.3</c:v>
                </c:pt>
                <c:pt idx="7">
                  <c:v>-0.35</c:v>
                </c:pt>
                <c:pt idx="8">
                  <c:v>-0.4</c:v>
                </c:pt>
                <c:pt idx="9">
                  <c:v>-0.45</c:v>
                </c:pt>
                <c:pt idx="10">
                  <c:v>-0.5</c:v>
                </c:pt>
                <c:pt idx="11">
                  <c:v>-0.55000000000000004</c:v>
                </c:pt>
                <c:pt idx="12">
                  <c:v>-0.6</c:v>
                </c:pt>
                <c:pt idx="13">
                  <c:v>-0.65</c:v>
                </c:pt>
                <c:pt idx="14">
                  <c:v>-0.7</c:v>
                </c:pt>
                <c:pt idx="15">
                  <c:v>-0.75</c:v>
                </c:pt>
                <c:pt idx="16">
                  <c:v>-0.8</c:v>
                </c:pt>
                <c:pt idx="17">
                  <c:v>-0.85</c:v>
                </c:pt>
                <c:pt idx="18">
                  <c:v>-0.9</c:v>
                </c:pt>
                <c:pt idx="19">
                  <c:v>-0.95</c:v>
                </c:pt>
                <c:pt idx="20">
                  <c:v>-1</c:v>
                </c:pt>
                <c:pt idx="21">
                  <c:v>-1.05</c:v>
                </c:pt>
                <c:pt idx="22">
                  <c:v>-1.1000000000000001</c:v>
                </c:pt>
                <c:pt idx="23">
                  <c:v>-1.1499999999999999</c:v>
                </c:pt>
                <c:pt idx="24">
                  <c:v>-1.2</c:v>
                </c:pt>
                <c:pt idx="25">
                  <c:v>-1.25</c:v>
                </c:pt>
                <c:pt idx="26">
                  <c:v>-1.3</c:v>
                </c:pt>
                <c:pt idx="27">
                  <c:v>-1.35</c:v>
                </c:pt>
                <c:pt idx="28">
                  <c:v>-1.4</c:v>
                </c:pt>
                <c:pt idx="29">
                  <c:v>-1.45</c:v>
                </c:pt>
                <c:pt idx="30">
                  <c:v>-1.5</c:v>
                </c:pt>
                <c:pt idx="31">
                  <c:v>-1.55</c:v>
                </c:pt>
                <c:pt idx="32">
                  <c:v>-1.6</c:v>
                </c:pt>
                <c:pt idx="33">
                  <c:v>-1.65</c:v>
                </c:pt>
                <c:pt idx="34">
                  <c:v>-1.7</c:v>
                </c:pt>
                <c:pt idx="35">
                  <c:v>-1.75</c:v>
                </c:pt>
                <c:pt idx="36">
                  <c:v>-1.8</c:v>
                </c:pt>
                <c:pt idx="37">
                  <c:v>-1.85</c:v>
                </c:pt>
                <c:pt idx="38">
                  <c:v>-1.9</c:v>
                </c:pt>
                <c:pt idx="39">
                  <c:v>-1.95</c:v>
                </c:pt>
                <c:pt idx="40">
                  <c:v>-2</c:v>
                </c:pt>
                <c:pt idx="41">
                  <c:v>-2.0499999999999998</c:v>
                </c:pt>
                <c:pt idx="42">
                  <c:v>-2.1</c:v>
                </c:pt>
                <c:pt idx="43">
                  <c:v>-2.15</c:v>
                </c:pt>
                <c:pt idx="44">
                  <c:v>-2.2000000000000002</c:v>
                </c:pt>
                <c:pt idx="45">
                  <c:v>-2.25</c:v>
                </c:pt>
                <c:pt idx="46">
                  <c:v>-2.2999999999999998</c:v>
                </c:pt>
                <c:pt idx="47">
                  <c:v>-2.35</c:v>
                </c:pt>
                <c:pt idx="48">
                  <c:v>-2.4</c:v>
                </c:pt>
                <c:pt idx="49">
                  <c:v>-2.4500000000000002</c:v>
                </c:pt>
                <c:pt idx="50">
                  <c:v>-2.5</c:v>
                </c:pt>
                <c:pt idx="51">
                  <c:v>-2.5499999999999998</c:v>
                </c:pt>
                <c:pt idx="52">
                  <c:v>-2.6</c:v>
                </c:pt>
                <c:pt idx="53">
                  <c:v>-2.65</c:v>
                </c:pt>
                <c:pt idx="54">
                  <c:v>-2.7</c:v>
                </c:pt>
                <c:pt idx="55">
                  <c:v>-2.75</c:v>
                </c:pt>
                <c:pt idx="56">
                  <c:v>-2.8</c:v>
                </c:pt>
                <c:pt idx="57">
                  <c:v>-2.85</c:v>
                </c:pt>
                <c:pt idx="58">
                  <c:v>-2.9</c:v>
                </c:pt>
                <c:pt idx="59">
                  <c:v>-2.95</c:v>
                </c:pt>
                <c:pt idx="60">
                  <c:v>-3</c:v>
                </c:pt>
                <c:pt idx="61">
                  <c:v>-2.95</c:v>
                </c:pt>
                <c:pt idx="62">
                  <c:v>-2.9</c:v>
                </c:pt>
                <c:pt idx="63">
                  <c:v>-2.85</c:v>
                </c:pt>
                <c:pt idx="64">
                  <c:v>-2.8</c:v>
                </c:pt>
                <c:pt idx="65">
                  <c:v>-2.75</c:v>
                </c:pt>
                <c:pt idx="66">
                  <c:v>-2.7</c:v>
                </c:pt>
                <c:pt idx="67">
                  <c:v>-2.65</c:v>
                </c:pt>
                <c:pt idx="68">
                  <c:v>-2.6</c:v>
                </c:pt>
                <c:pt idx="69">
                  <c:v>-2.5499999999999998</c:v>
                </c:pt>
                <c:pt idx="70">
                  <c:v>-2.5</c:v>
                </c:pt>
                <c:pt idx="71">
                  <c:v>-2.4500000000000002</c:v>
                </c:pt>
                <c:pt idx="72">
                  <c:v>-2.4</c:v>
                </c:pt>
                <c:pt idx="73">
                  <c:v>-2.35</c:v>
                </c:pt>
                <c:pt idx="74">
                  <c:v>-2.2999999999999998</c:v>
                </c:pt>
                <c:pt idx="75">
                  <c:v>-2.25</c:v>
                </c:pt>
                <c:pt idx="76">
                  <c:v>-2.2000000000000002</c:v>
                </c:pt>
                <c:pt idx="77">
                  <c:v>-2.15</c:v>
                </c:pt>
                <c:pt idx="78">
                  <c:v>-2.1</c:v>
                </c:pt>
                <c:pt idx="79">
                  <c:v>-2.0499999999999998</c:v>
                </c:pt>
                <c:pt idx="80">
                  <c:v>-2</c:v>
                </c:pt>
                <c:pt idx="81">
                  <c:v>-1.95</c:v>
                </c:pt>
                <c:pt idx="82">
                  <c:v>-1.9</c:v>
                </c:pt>
                <c:pt idx="83">
                  <c:v>-1.85</c:v>
                </c:pt>
                <c:pt idx="84">
                  <c:v>-1.8</c:v>
                </c:pt>
                <c:pt idx="85">
                  <c:v>-1.75</c:v>
                </c:pt>
                <c:pt idx="86">
                  <c:v>-1.7</c:v>
                </c:pt>
                <c:pt idx="87">
                  <c:v>-1.65</c:v>
                </c:pt>
                <c:pt idx="88">
                  <c:v>-1.6</c:v>
                </c:pt>
                <c:pt idx="89">
                  <c:v>-1.55</c:v>
                </c:pt>
                <c:pt idx="90">
                  <c:v>-1.5</c:v>
                </c:pt>
                <c:pt idx="91">
                  <c:v>-1.45</c:v>
                </c:pt>
                <c:pt idx="92">
                  <c:v>-1.4</c:v>
                </c:pt>
                <c:pt idx="93">
                  <c:v>-1.35</c:v>
                </c:pt>
                <c:pt idx="94">
                  <c:v>-1.3</c:v>
                </c:pt>
                <c:pt idx="95">
                  <c:v>-1.25</c:v>
                </c:pt>
                <c:pt idx="96">
                  <c:v>-1.2</c:v>
                </c:pt>
                <c:pt idx="97">
                  <c:v>-1.1499999999999999</c:v>
                </c:pt>
                <c:pt idx="98">
                  <c:v>-1.1000000000000001</c:v>
                </c:pt>
                <c:pt idx="99">
                  <c:v>-1.05</c:v>
                </c:pt>
                <c:pt idx="100">
                  <c:v>-1</c:v>
                </c:pt>
                <c:pt idx="101">
                  <c:v>-0.95</c:v>
                </c:pt>
                <c:pt idx="102">
                  <c:v>-0.9</c:v>
                </c:pt>
                <c:pt idx="103">
                  <c:v>-0.85</c:v>
                </c:pt>
                <c:pt idx="104">
                  <c:v>-0.8</c:v>
                </c:pt>
                <c:pt idx="105">
                  <c:v>-0.75</c:v>
                </c:pt>
                <c:pt idx="106">
                  <c:v>-0.7</c:v>
                </c:pt>
                <c:pt idx="107">
                  <c:v>-0.65</c:v>
                </c:pt>
                <c:pt idx="108">
                  <c:v>-0.6</c:v>
                </c:pt>
                <c:pt idx="109">
                  <c:v>-0.55000000000000004</c:v>
                </c:pt>
                <c:pt idx="110">
                  <c:v>-0.5</c:v>
                </c:pt>
                <c:pt idx="111">
                  <c:v>-0.45</c:v>
                </c:pt>
                <c:pt idx="112">
                  <c:v>-0.4</c:v>
                </c:pt>
                <c:pt idx="113">
                  <c:v>-0.35</c:v>
                </c:pt>
                <c:pt idx="114">
                  <c:v>-0.3</c:v>
                </c:pt>
                <c:pt idx="115">
                  <c:v>-0.25</c:v>
                </c:pt>
                <c:pt idx="116">
                  <c:v>-0.2</c:v>
                </c:pt>
                <c:pt idx="117">
                  <c:v>-0.15</c:v>
                </c:pt>
                <c:pt idx="118">
                  <c:v>-0.1</c:v>
                </c:pt>
                <c:pt idx="119">
                  <c:v>-0.05</c:v>
                </c:pt>
                <c:pt idx="120">
                  <c:v>0</c:v>
                </c:pt>
                <c:pt idx="121">
                  <c:v>0.05</c:v>
                </c:pt>
                <c:pt idx="122">
                  <c:v>0.1</c:v>
                </c:pt>
                <c:pt idx="123">
                  <c:v>0.15</c:v>
                </c:pt>
                <c:pt idx="124">
                  <c:v>0.2</c:v>
                </c:pt>
                <c:pt idx="125">
                  <c:v>0.25</c:v>
                </c:pt>
                <c:pt idx="126">
                  <c:v>0.3</c:v>
                </c:pt>
                <c:pt idx="127">
                  <c:v>0.35</c:v>
                </c:pt>
                <c:pt idx="128">
                  <c:v>0.4</c:v>
                </c:pt>
                <c:pt idx="129">
                  <c:v>0.45</c:v>
                </c:pt>
                <c:pt idx="130">
                  <c:v>0.5</c:v>
                </c:pt>
                <c:pt idx="131">
                  <c:v>0.46329312567793479</c:v>
                </c:pt>
                <c:pt idx="132">
                  <c:v>0.4321405372236034</c:v>
                </c:pt>
                <c:pt idx="133">
                  <c:v>0.40533613540837826</c:v>
                </c:pt>
                <c:pt idx="134">
                  <c:v>0.38200370561609603</c:v>
                </c:pt>
                <c:pt idx="135">
                  <c:v>0.36149059039923281</c:v>
                </c:pt>
                <c:pt idx="136">
                  <c:v>0.3433001697831618</c:v>
                </c:pt>
                <c:pt idx="137">
                  <c:v>0.32704752527605258</c:v>
                </c:pt>
                <c:pt idx="138">
                  <c:v>0.31242947587280412</c:v>
                </c:pt>
                <c:pt idx="139">
                  <c:v>0.29920381284477315</c:v>
                </c:pt>
                <c:pt idx="140">
                  <c:v>0.28717458874925877</c:v>
                </c:pt>
                <c:pt idx="141">
                  <c:v>0.27281585931179614</c:v>
                </c:pt>
                <c:pt idx="142">
                  <c:v>0.25845712987433317</c:v>
                </c:pt>
                <c:pt idx="143">
                  <c:v>0.24409840043687023</c:v>
                </c:pt>
                <c:pt idx="144">
                  <c:v>0.22973967099940729</c:v>
                </c:pt>
                <c:pt idx="145">
                  <c:v>0.21538094156194432</c:v>
                </c:pt>
                <c:pt idx="146">
                  <c:v>0.20102221212448135</c:v>
                </c:pt>
                <c:pt idx="147">
                  <c:v>0.18666348268701841</c:v>
                </c:pt>
                <c:pt idx="148">
                  <c:v>0.17230475324955544</c:v>
                </c:pt>
                <c:pt idx="149">
                  <c:v>0.1579460238120925</c:v>
                </c:pt>
                <c:pt idx="150">
                  <c:v>0.14358729437462955</c:v>
                </c:pt>
                <c:pt idx="151">
                  <c:v>0.12922856493716658</c:v>
                </c:pt>
                <c:pt idx="152">
                  <c:v>0.11486983549970364</c:v>
                </c:pt>
                <c:pt idx="153">
                  <c:v>0.10051110606224067</c:v>
                </c:pt>
                <c:pt idx="154">
                  <c:v>8.6152376624777718E-2</c:v>
                </c:pt>
                <c:pt idx="155">
                  <c:v>7.1793647187314777E-2</c:v>
                </c:pt>
                <c:pt idx="156">
                  <c:v>5.7434917749851822E-2</c:v>
                </c:pt>
                <c:pt idx="157">
                  <c:v>4.3076188312388859E-2</c:v>
                </c:pt>
                <c:pt idx="158">
                  <c:v>2.8717458874925911E-2</c:v>
                </c:pt>
                <c:pt idx="159">
                  <c:v>1.4358729437462955E-2</c:v>
                </c:pt>
                <c:pt idx="160">
                  <c:v>0</c:v>
                </c:pt>
                <c:pt idx="161">
                  <c:v>-0.05</c:v>
                </c:pt>
                <c:pt idx="162">
                  <c:v>-0.1</c:v>
                </c:pt>
                <c:pt idx="163">
                  <c:v>-0.15</c:v>
                </c:pt>
                <c:pt idx="164">
                  <c:v>-0.2</c:v>
                </c:pt>
                <c:pt idx="165">
                  <c:v>-0.25</c:v>
                </c:pt>
                <c:pt idx="166">
                  <c:v>-0.3</c:v>
                </c:pt>
                <c:pt idx="167">
                  <c:v>-0.35</c:v>
                </c:pt>
                <c:pt idx="168">
                  <c:v>-0.4</c:v>
                </c:pt>
                <c:pt idx="169">
                  <c:v>-0.45</c:v>
                </c:pt>
                <c:pt idx="170">
                  <c:v>-0.5</c:v>
                </c:pt>
                <c:pt idx="171">
                  <c:v>-0.55000000000000004</c:v>
                </c:pt>
                <c:pt idx="172">
                  <c:v>-0.6</c:v>
                </c:pt>
                <c:pt idx="173">
                  <c:v>-0.65</c:v>
                </c:pt>
                <c:pt idx="174">
                  <c:v>-0.7</c:v>
                </c:pt>
                <c:pt idx="175">
                  <c:v>-0.75</c:v>
                </c:pt>
                <c:pt idx="176">
                  <c:v>-0.8</c:v>
                </c:pt>
                <c:pt idx="177">
                  <c:v>-0.85</c:v>
                </c:pt>
                <c:pt idx="178">
                  <c:v>-0.9</c:v>
                </c:pt>
                <c:pt idx="179">
                  <c:v>-0.95</c:v>
                </c:pt>
                <c:pt idx="180">
                  <c:v>-1</c:v>
                </c:pt>
                <c:pt idx="181">
                  <c:v>-0.95</c:v>
                </c:pt>
                <c:pt idx="182">
                  <c:v>-0.9</c:v>
                </c:pt>
                <c:pt idx="183">
                  <c:v>-0.85</c:v>
                </c:pt>
                <c:pt idx="184">
                  <c:v>-0.8</c:v>
                </c:pt>
                <c:pt idx="185">
                  <c:v>-0.75</c:v>
                </c:pt>
                <c:pt idx="186">
                  <c:v>-0.7</c:v>
                </c:pt>
                <c:pt idx="187">
                  <c:v>-0.65</c:v>
                </c:pt>
                <c:pt idx="188">
                  <c:v>-0.6</c:v>
                </c:pt>
                <c:pt idx="189">
                  <c:v>-0.55000000000000004</c:v>
                </c:pt>
                <c:pt idx="190">
                  <c:v>-0.5</c:v>
                </c:pt>
                <c:pt idx="191">
                  <c:v>-0.45</c:v>
                </c:pt>
                <c:pt idx="192">
                  <c:v>-0.4</c:v>
                </c:pt>
                <c:pt idx="193">
                  <c:v>-0.35</c:v>
                </c:pt>
                <c:pt idx="194">
                  <c:v>-0.3</c:v>
                </c:pt>
                <c:pt idx="195">
                  <c:v>-0.25</c:v>
                </c:pt>
                <c:pt idx="196">
                  <c:v>-0.2</c:v>
                </c:pt>
                <c:pt idx="197">
                  <c:v>-0.15</c:v>
                </c:pt>
                <c:pt idx="198">
                  <c:v>-0.1</c:v>
                </c:pt>
                <c:pt idx="199">
                  <c:v>-0.05</c:v>
                </c:pt>
                <c:pt idx="200">
                  <c:v>0</c:v>
                </c:pt>
                <c:pt idx="201">
                  <c:v>1.4358729437462955E-2</c:v>
                </c:pt>
                <c:pt idx="202">
                  <c:v>2.8717458874925911E-2</c:v>
                </c:pt>
                <c:pt idx="203">
                  <c:v>4.3076188312388859E-2</c:v>
                </c:pt>
                <c:pt idx="204">
                  <c:v>5.7434917749851822E-2</c:v>
                </c:pt>
                <c:pt idx="205">
                  <c:v>7.1793647187314777E-2</c:v>
                </c:pt>
                <c:pt idx="206">
                  <c:v>8.6152376624777718E-2</c:v>
                </c:pt>
                <c:pt idx="207">
                  <c:v>0.10051110606224067</c:v>
                </c:pt>
                <c:pt idx="208">
                  <c:v>0.11486983549970364</c:v>
                </c:pt>
                <c:pt idx="209">
                  <c:v>0.12922856493716658</c:v>
                </c:pt>
                <c:pt idx="210">
                  <c:v>0.14358729437462955</c:v>
                </c:pt>
                <c:pt idx="211">
                  <c:v>0.1579460238120925</c:v>
                </c:pt>
                <c:pt idx="212">
                  <c:v>0.17230475324955544</c:v>
                </c:pt>
                <c:pt idx="213">
                  <c:v>0.18666348268701841</c:v>
                </c:pt>
                <c:pt idx="214">
                  <c:v>0.20102221212448135</c:v>
                </c:pt>
                <c:pt idx="215">
                  <c:v>0.21538094156194432</c:v>
                </c:pt>
                <c:pt idx="216">
                  <c:v>0.22973967099940729</c:v>
                </c:pt>
                <c:pt idx="217">
                  <c:v>0.24409840043687023</c:v>
                </c:pt>
                <c:pt idx="218">
                  <c:v>0.25845712987433317</c:v>
                </c:pt>
                <c:pt idx="219">
                  <c:v>0.27281585931179614</c:v>
                </c:pt>
                <c:pt idx="220">
                  <c:v>0.28717458874925911</c:v>
                </c:pt>
                <c:pt idx="221">
                  <c:v>0.27618149015571458</c:v>
                </c:pt>
                <c:pt idx="222">
                  <c:v>0.26609202567383916</c:v>
                </c:pt>
                <c:pt idx="223">
                  <c:v>0.25679569305284966</c:v>
                </c:pt>
                <c:pt idx="224">
                  <c:v>0.24819956211814409</c:v>
                </c:pt>
                <c:pt idx="225">
                  <c:v>0.24022488679628626</c:v>
                </c:pt>
                <c:pt idx="226">
                  <c:v>0.23280447598222975</c:v>
                </c:pt>
                <c:pt idx="227">
                  <c:v>0.22588063138276565</c:v>
                </c:pt>
                <c:pt idx="228">
                  <c:v>0.21940351412199058</c:v>
                </c:pt>
                <c:pt idx="229">
                  <c:v>0.2133298392057118</c:v>
                </c:pt>
                <c:pt idx="230">
                  <c:v>0.20762182326925285</c:v>
                </c:pt>
                <c:pt idx="231">
                  <c:v>0.20224632986134669</c:v>
                </c:pt>
                <c:pt idx="232">
                  <c:v>0.19717417015006039</c:v>
                </c:pt>
                <c:pt idx="233">
                  <c:v>0.19237952692272789</c:v>
                </c:pt>
                <c:pt idx="234">
                  <c:v>0.18783947714522642</c:v>
                </c:pt>
                <c:pt idx="235">
                  <c:v>0.18353359387477702</c:v>
                </c:pt>
                <c:pt idx="236">
                  <c:v>0.17944361249383797</c:v>
                </c:pt>
                <c:pt idx="237">
                  <c:v>0.17555314941062977</c:v>
                </c:pt>
                <c:pt idx="238">
                  <c:v>0.17184746381181581</c:v>
                </c:pt>
                <c:pt idx="239">
                  <c:v>0.16831325494080052</c:v>
                </c:pt>
                <c:pt idx="240">
                  <c:v>0.1649384888466118</c:v>
                </c:pt>
                <c:pt idx="241">
                  <c:v>0.16081502662544667</c:v>
                </c:pt>
                <c:pt idx="242">
                  <c:v>0.15669156440428136</c:v>
                </c:pt>
                <c:pt idx="243">
                  <c:v>0.15256810218311603</c:v>
                </c:pt>
                <c:pt idx="244">
                  <c:v>0.14844463996195073</c:v>
                </c:pt>
                <c:pt idx="245">
                  <c:v>0.14432117774078546</c:v>
                </c:pt>
                <c:pt idx="246">
                  <c:v>0.14019771551962015</c:v>
                </c:pt>
                <c:pt idx="247">
                  <c:v>0.13607425329845485</c:v>
                </c:pt>
                <c:pt idx="248">
                  <c:v>0.13195079107728955</c:v>
                </c:pt>
                <c:pt idx="249">
                  <c:v>0.12782732885612427</c:v>
                </c:pt>
                <c:pt idx="250">
                  <c:v>0.12370386663495896</c:v>
                </c:pt>
                <c:pt idx="251">
                  <c:v>0.11958040441379365</c:v>
                </c:pt>
                <c:pt idx="252">
                  <c:v>0.11545694219262836</c:v>
                </c:pt>
                <c:pt idx="253">
                  <c:v>0.11133347997146306</c:v>
                </c:pt>
                <c:pt idx="254">
                  <c:v>0.10721001775029776</c:v>
                </c:pt>
                <c:pt idx="255">
                  <c:v>0.10308655552913247</c:v>
                </c:pt>
                <c:pt idx="256">
                  <c:v>9.8963093307967168E-2</c:v>
                </c:pt>
                <c:pt idx="257">
                  <c:v>9.4839631086801879E-2</c:v>
                </c:pt>
                <c:pt idx="258">
                  <c:v>9.0716168865636576E-2</c:v>
                </c:pt>
                <c:pt idx="259">
                  <c:v>8.6592706644471273E-2</c:v>
                </c:pt>
                <c:pt idx="260">
                  <c:v>8.2469244423305985E-2</c:v>
                </c:pt>
                <c:pt idx="261">
                  <c:v>7.8345782202140682E-2</c:v>
                </c:pt>
                <c:pt idx="262">
                  <c:v>7.4222319980975365E-2</c:v>
                </c:pt>
                <c:pt idx="263">
                  <c:v>7.0098857759810076E-2</c:v>
                </c:pt>
                <c:pt idx="264">
                  <c:v>6.5975395538644774E-2</c:v>
                </c:pt>
                <c:pt idx="265">
                  <c:v>6.1851933317479478E-2</c:v>
                </c:pt>
                <c:pt idx="266">
                  <c:v>5.7728471096314182E-2</c:v>
                </c:pt>
                <c:pt idx="267">
                  <c:v>5.360500887514888E-2</c:v>
                </c:pt>
                <c:pt idx="268">
                  <c:v>4.9481546653983584E-2</c:v>
                </c:pt>
                <c:pt idx="269">
                  <c:v>4.5358084432818288E-2</c:v>
                </c:pt>
                <c:pt idx="270">
                  <c:v>4.1234622211652992E-2</c:v>
                </c:pt>
                <c:pt idx="271">
                  <c:v>3.7111159990487683E-2</c:v>
                </c:pt>
                <c:pt idx="272">
                  <c:v>3.2987697769322387E-2</c:v>
                </c:pt>
                <c:pt idx="273">
                  <c:v>2.8864235548157091E-2</c:v>
                </c:pt>
                <c:pt idx="274">
                  <c:v>2.4740773326991792E-2</c:v>
                </c:pt>
                <c:pt idx="275">
                  <c:v>2.0617311105826496E-2</c:v>
                </c:pt>
                <c:pt idx="276">
                  <c:v>1.6493848884661193E-2</c:v>
                </c:pt>
                <c:pt idx="277">
                  <c:v>1.2370386663495896E-2</c:v>
                </c:pt>
                <c:pt idx="278">
                  <c:v>8.2469244423305967E-3</c:v>
                </c:pt>
                <c:pt idx="279">
                  <c:v>4.1234622211652984E-3</c:v>
                </c:pt>
                <c:pt idx="280">
                  <c:v>0</c:v>
                </c:pt>
                <c:pt idx="281">
                  <c:v>-0.05</c:v>
                </c:pt>
                <c:pt idx="282">
                  <c:v>-0.1</c:v>
                </c:pt>
                <c:pt idx="283">
                  <c:v>-0.15</c:v>
                </c:pt>
                <c:pt idx="284">
                  <c:v>-0.2</c:v>
                </c:pt>
                <c:pt idx="285">
                  <c:v>-0.25</c:v>
                </c:pt>
                <c:pt idx="286">
                  <c:v>-0.3</c:v>
                </c:pt>
                <c:pt idx="287">
                  <c:v>-0.35</c:v>
                </c:pt>
                <c:pt idx="288">
                  <c:v>-0.4</c:v>
                </c:pt>
                <c:pt idx="289">
                  <c:v>-0.45</c:v>
                </c:pt>
                <c:pt idx="290">
                  <c:v>-0.5</c:v>
                </c:pt>
                <c:pt idx="291">
                  <c:v>-0.55000000000000004</c:v>
                </c:pt>
                <c:pt idx="292">
                  <c:v>-0.6</c:v>
                </c:pt>
                <c:pt idx="293">
                  <c:v>-0.65</c:v>
                </c:pt>
                <c:pt idx="294">
                  <c:v>-0.7</c:v>
                </c:pt>
                <c:pt idx="295">
                  <c:v>-0.75</c:v>
                </c:pt>
                <c:pt idx="296">
                  <c:v>-0.8</c:v>
                </c:pt>
                <c:pt idx="297">
                  <c:v>-0.85</c:v>
                </c:pt>
                <c:pt idx="298">
                  <c:v>-0.9</c:v>
                </c:pt>
                <c:pt idx="299">
                  <c:v>-0.95</c:v>
                </c:pt>
                <c:pt idx="300">
                  <c:v>-1</c:v>
                </c:pt>
                <c:pt idx="301">
                  <c:v>-0.95</c:v>
                </c:pt>
                <c:pt idx="302">
                  <c:v>-0.9</c:v>
                </c:pt>
                <c:pt idx="303">
                  <c:v>-0.85</c:v>
                </c:pt>
                <c:pt idx="304">
                  <c:v>-0.8</c:v>
                </c:pt>
                <c:pt idx="305">
                  <c:v>-0.75</c:v>
                </c:pt>
                <c:pt idx="306">
                  <c:v>-0.7</c:v>
                </c:pt>
                <c:pt idx="307">
                  <c:v>-0.65</c:v>
                </c:pt>
                <c:pt idx="308">
                  <c:v>-0.6</c:v>
                </c:pt>
                <c:pt idx="309">
                  <c:v>-0.55000000000000004</c:v>
                </c:pt>
                <c:pt idx="310">
                  <c:v>-0.5</c:v>
                </c:pt>
                <c:pt idx="311">
                  <c:v>-0.45</c:v>
                </c:pt>
                <c:pt idx="312">
                  <c:v>-0.4</c:v>
                </c:pt>
                <c:pt idx="313">
                  <c:v>-0.35</c:v>
                </c:pt>
                <c:pt idx="314">
                  <c:v>-0.3</c:v>
                </c:pt>
                <c:pt idx="315">
                  <c:v>-0.25</c:v>
                </c:pt>
                <c:pt idx="316">
                  <c:v>-0.2</c:v>
                </c:pt>
                <c:pt idx="317">
                  <c:v>-0.15</c:v>
                </c:pt>
                <c:pt idx="318">
                  <c:v>-0.1</c:v>
                </c:pt>
                <c:pt idx="319">
                  <c:v>-0.05</c:v>
                </c:pt>
                <c:pt idx="320">
                  <c:v>0</c:v>
                </c:pt>
                <c:pt idx="321">
                  <c:v>4.1234622211652984E-3</c:v>
                </c:pt>
                <c:pt idx="322">
                  <c:v>8.2469244423305967E-3</c:v>
                </c:pt>
                <c:pt idx="323">
                  <c:v>1.2370386663495896E-2</c:v>
                </c:pt>
                <c:pt idx="324">
                  <c:v>1.6493848884661193E-2</c:v>
                </c:pt>
                <c:pt idx="325">
                  <c:v>2.0617311105826496E-2</c:v>
                </c:pt>
                <c:pt idx="326">
                  <c:v>2.4740773326991792E-2</c:v>
                </c:pt>
                <c:pt idx="327">
                  <c:v>2.8864235548157091E-2</c:v>
                </c:pt>
                <c:pt idx="328">
                  <c:v>3.2987697769322387E-2</c:v>
                </c:pt>
                <c:pt idx="329">
                  <c:v>3.7111159990487683E-2</c:v>
                </c:pt>
                <c:pt idx="330">
                  <c:v>4.1234622211652992E-2</c:v>
                </c:pt>
                <c:pt idx="331">
                  <c:v>4.5358084432818288E-2</c:v>
                </c:pt>
                <c:pt idx="332">
                  <c:v>4.9481546653983584E-2</c:v>
                </c:pt>
                <c:pt idx="333">
                  <c:v>5.360500887514888E-2</c:v>
                </c:pt>
                <c:pt idx="334">
                  <c:v>5.7728471096314182E-2</c:v>
                </c:pt>
                <c:pt idx="335">
                  <c:v>6.1851933317479478E-2</c:v>
                </c:pt>
                <c:pt idx="336">
                  <c:v>6.5975395538644774E-2</c:v>
                </c:pt>
                <c:pt idx="337">
                  <c:v>7.0098857759810076E-2</c:v>
                </c:pt>
                <c:pt idx="338">
                  <c:v>7.4222319980975365E-2</c:v>
                </c:pt>
                <c:pt idx="339">
                  <c:v>7.8345782202140682E-2</c:v>
                </c:pt>
                <c:pt idx="340">
                  <c:v>8.2469244423305985E-2</c:v>
                </c:pt>
                <c:pt idx="341">
                  <c:v>8.6592706644471273E-2</c:v>
                </c:pt>
                <c:pt idx="342">
                  <c:v>9.0716168865636576E-2</c:v>
                </c:pt>
                <c:pt idx="343">
                  <c:v>9.4839631086801879E-2</c:v>
                </c:pt>
                <c:pt idx="344">
                  <c:v>9.8963093307967168E-2</c:v>
                </c:pt>
                <c:pt idx="345">
                  <c:v>0.10308655552913247</c:v>
                </c:pt>
                <c:pt idx="346">
                  <c:v>0.10721001775029776</c:v>
                </c:pt>
                <c:pt idx="347">
                  <c:v>0.11133347997146306</c:v>
                </c:pt>
                <c:pt idx="348">
                  <c:v>0.11545694219262836</c:v>
                </c:pt>
                <c:pt idx="349">
                  <c:v>0.11958040441379365</c:v>
                </c:pt>
                <c:pt idx="350">
                  <c:v>0.12370386663495896</c:v>
                </c:pt>
                <c:pt idx="351">
                  <c:v>0.12782732885612427</c:v>
                </c:pt>
                <c:pt idx="352">
                  <c:v>0.13195079107728955</c:v>
                </c:pt>
                <c:pt idx="353">
                  <c:v>0.13607425329845485</c:v>
                </c:pt>
                <c:pt idx="354">
                  <c:v>0.14019771551962015</c:v>
                </c:pt>
                <c:pt idx="355">
                  <c:v>0.14432117774078546</c:v>
                </c:pt>
                <c:pt idx="356">
                  <c:v>0.14844463996195073</c:v>
                </c:pt>
                <c:pt idx="357">
                  <c:v>0.15256810218311603</c:v>
                </c:pt>
                <c:pt idx="358">
                  <c:v>0.15669156440428136</c:v>
                </c:pt>
                <c:pt idx="359">
                  <c:v>0.16081502662544667</c:v>
                </c:pt>
                <c:pt idx="360">
                  <c:v>0.16493848884661197</c:v>
                </c:pt>
                <c:pt idx="361">
                  <c:v>0.16171224970319714</c:v>
                </c:pt>
                <c:pt idx="362">
                  <c:v>0.15862461171124959</c:v>
                </c:pt>
                <c:pt idx="363">
                  <c:v>0.15566652831981356</c:v>
                </c:pt>
                <c:pt idx="364">
                  <c:v>0.15282973608468389</c:v>
                </c:pt>
                <c:pt idx="365">
                  <c:v>0.1501066709467348</c:v>
                </c:pt>
                <c:pt idx="366">
                  <c:v>0.14749039509006595</c:v>
                </c:pt>
                <c:pt idx="367">
                  <c:v>0.14497453284590767</c:v>
                </c:pt>
                <c:pt idx="368">
                  <c:v>0.14255321435804824</c:v>
                </c:pt>
                <c:pt idx="369">
                  <c:v>0.14022102593040889</c:v>
                </c:pt>
                <c:pt idx="370">
                  <c:v>0.13797296614612148</c:v>
                </c:pt>
                <c:pt idx="371">
                  <c:v>0.13580440698702223</c:v>
                </c:pt>
                <c:pt idx="372">
                  <c:v>0.13371105929836702</c:v>
                </c:pt>
                <c:pt idx="373">
                  <c:v>0.13168894204018655</c:v>
                </c:pt>
                <c:pt idx="374">
                  <c:v>0.12973435484753726</c:v>
                </c:pt>
                <c:pt idx="375">
                  <c:v>0.127843853489785</c:v>
                </c:pt>
                <c:pt idx="376">
                  <c:v>0.12601422787624963</c:v>
                </c:pt>
                <c:pt idx="377">
                  <c:v>0.12424248230388819</c:v>
                </c:pt>
                <c:pt idx="378">
                  <c:v>0.12252581768369154</c:v>
                </c:pt>
                <c:pt idx="379">
                  <c:v>0.12086161551734304</c:v>
                </c:pt>
                <c:pt idx="380">
                  <c:v>0.11924742342543795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6273408"/>
        <c:axId val="126274944"/>
      </c:scatterChart>
      <c:valAx>
        <c:axId val="126273408"/>
        <c:scaling>
          <c:orientation val="minMax"/>
          <c:max val="600"/>
          <c:min val="-600"/>
        </c:scaling>
        <c:delete val="0"/>
        <c:axPos val="b"/>
        <c:majorGridlines/>
        <c:numFmt formatCode="0" sourceLinked="1"/>
        <c:majorTickMark val="out"/>
        <c:minorTickMark val="none"/>
        <c:tickLblPos val="nextTo"/>
        <c:crossAx val="126274944"/>
        <c:crosses val="autoZero"/>
        <c:crossBetween val="midCat"/>
        <c:majorUnit val="100"/>
      </c:valAx>
      <c:valAx>
        <c:axId val="126274944"/>
        <c:scaling>
          <c:orientation val="minMax"/>
          <c:max val="1"/>
          <c:min val="-4"/>
        </c:scaling>
        <c:delete val="0"/>
        <c:axPos val="l"/>
        <c:majorGridlines/>
        <c:numFmt formatCode="0.000" sourceLinked="1"/>
        <c:majorTickMark val="out"/>
        <c:minorTickMark val="none"/>
        <c:tickLblPos val="nextTo"/>
        <c:crossAx val="126273408"/>
        <c:crosses val="autoZero"/>
        <c:crossBetween val="midCat"/>
        <c:majorUnit val="0.5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22225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's-e NLin'!$A$6:$A$41</c:f>
              <c:numCache>
                <c:formatCode>0.00</c:formatCode>
                <c:ptCount val="36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2.4000000000000008</c:v>
                </c:pt>
                <c:pt idx="25">
                  <c:v>2.5000000000000009</c:v>
                </c:pt>
                <c:pt idx="26">
                  <c:v>2.600000000000001</c:v>
                </c:pt>
                <c:pt idx="27">
                  <c:v>2.7000000000000011</c:v>
                </c:pt>
                <c:pt idx="28">
                  <c:v>2.8000000000000012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</c:numCache>
            </c:numRef>
          </c:xVal>
          <c:yVal>
            <c:numRef>
              <c:f>'s-e NLin'!$B$6:$B$41</c:f>
              <c:numCache>
                <c:formatCode>0.00</c:formatCode>
                <c:ptCount val="36"/>
                <c:pt idx="0">
                  <c:v>0</c:v>
                </c:pt>
                <c:pt idx="1">
                  <c:v>2.9249999999999998</c:v>
                </c:pt>
                <c:pt idx="2">
                  <c:v>5.6999999999999993</c:v>
                </c:pt>
                <c:pt idx="3">
                  <c:v>8.3250000000000028</c:v>
                </c:pt>
                <c:pt idx="4">
                  <c:v>10.8</c:v>
                </c:pt>
                <c:pt idx="5">
                  <c:v>13.125</c:v>
                </c:pt>
                <c:pt idx="6">
                  <c:v>15.299999999999999</c:v>
                </c:pt>
                <c:pt idx="7">
                  <c:v>17.324999999999999</c:v>
                </c:pt>
                <c:pt idx="8">
                  <c:v>19.2</c:v>
                </c:pt>
                <c:pt idx="9">
                  <c:v>20.924999999999997</c:v>
                </c:pt>
                <c:pt idx="10">
                  <c:v>22.499999999999996</c:v>
                </c:pt>
                <c:pt idx="11">
                  <c:v>23.924999999999997</c:v>
                </c:pt>
                <c:pt idx="12">
                  <c:v>25.2</c:v>
                </c:pt>
                <c:pt idx="13">
                  <c:v>26.325000000000003</c:v>
                </c:pt>
                <c:pt idx="14">
                  <c:v>27.3</c:v>
                </c:pt>
                <c:pt idx="15">
                  <c:v>28.125000000000004</c:v>
                </c:pt>
                <c:pt idx="16">
                  <c:v>28.799999999999997</c:v>
                </c:pt>
                <c:pt idx="17">
                  <c:v>29.325000000000006</c:v>
                </c:pt>
                <c:pt idx="18">
                  <c:v>29.7</c:v>
                </c:pt>
                <c:pt idx="19">
                  <c:v>29.925000000000001</c:v>
                </c:pt>
                <c:pt idx="20">
                  <c:v>29.999999999999993</c:v>
                </c:pt>
                <c:pt idx="21">
                  <c:v>28.199999999999989</c:v>
                </c:pt>
                <c:pt idx="22">
                  <c:v>26.399999999999988</c:v>
                </c:pt>
                <c:pt idx="23">
                  <c:v>24.599999999999987</c:v>
                </c:pt>
                <c:pt idx="24">
                  <c:v>22.799999999999986</c:v>
                </c:pt>
                <c:pt idx="25">
                  <c:v>20.999999999999986</c:v>
                </c:pt>
                <c:pt idx="26">
                  <c:v>19.199999999999982</c:v>
                </c:pt>
                <c:pt idx="27">
                  <c:v>17.399999999999984</c:v>
                </c:pt>
                <c:pt idx="28">
                  <c:v>15.59999999999998</c:v>
                </c:pt>
                <c:pt idx="29">
                  <c:v>13.799999999999979</c:v>
                </c:pt>
                <c:pt idx="30">
                  <c:v>11.999999999999975</c:v>
                </c:pt>
                <c:pt idx="31">
                  <c:v>10.199999999999974</c:v>
                </c:pt>
                <c:pt idx="32">
                  <c:v>8.3999999999999737</c:v>
                </c:pt>
                <c:pt idx="33">
                  <c:v>6.5999999999999694</c:v>
                </c:pt>
                <c:pt idx="34">
                  <c:v>4.7999999999999687</c:v>
                </c:pt>
                <c:pt idx="35">
                  <c:v>2.999999999999968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6214912"/>
        <c:axId val="126216448"/>
      </c:scatterChart>
      <c:valAx>
        <c:axId val="126214912"/>
        <c:scaling>
          <c:orientation val="minMax"/>
        </c:scaling>
        <c:delete val="0"/>
        <c:axPos val="b"/>
        <c:majorGridlines/>
        <c:numFmt formatCode="0.00" sourceLinked="1"/>
        <c:majorTickMark val="out"/>
        <c:minorTickMark val="none"/>
        <c:tickLblPos val="nextTo"/>
        <c:crossAx val="126216448"/>
        <c:crosses val="autoZero"/>
        <c:crossBetween val="midCat"/>
      </c:valAx>
      <c:valAx>
        <c:axId val="12621644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2621491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600075</xdr:colOff>
      <xdr:row>2</xdr:row>
      <xdr:rowOff>38100</xdr:rowOff>
    </xdr:from>
    <xdr:to>
      <xdr:col>10</xdr:col>
      <xdr:colOff>561975</xdr:colOff>
      <xdr:row>24</xdr:row>
      <xdr:rowOff>57150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5</xdr:row>
      <xdr:rowOff>33337</xdr:rowOff>
    </xdr:from>
    <xdr:to>
      <xdr:col>11</xdr:col>
      <xdr:colOff>304800</xdr:colOff>
      <xdr:row>19</xdr:row>
      <xdr:rowOff>109537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"/>
  <sheetViews>
    <sheetView tabSelected="1" zoomScaleNormal="100" workbookViewId="0">
      <selection activeCell="B3" sqref="B3"/>
    </sheetView>
  </sheetViews>
  <sheetFormatPr defaultRowHeight="12.75" x14ac:dyDescent="0.25"/>
  <cols>
    <col min="1" max="1" width="11.42578125" style="17" customWidth="1"/>
    <col min="2" max="2" width="8.85546875" style="17" customWidth="1"/>
    <col min="3" max="5" width="9.140625" style="17"/>
    <col min="6" max="6" width="12.140625" style="17" bestFit="1" customWidth="1"/>
    <col min="7" max="8" width="9.140625" style="17"/>
    <col min="9" max="9" width="10.85546875" style="17" customWidth="1"/>
    <col min="10" max="12" width="9.140625" style="17"/>
    <col min="13" max="13" width="10.7109375" style="17" customWidth="1"/>
    <col min="14" max="17" width="9.140625" style="17"/>
    <col min="18" max="18" width="14.28515625" style="17" customWidth="1"/>
    <col min="19" max="16384" width="9.140625" style="17"/>
  </cols>
  <sheetData>
    <row r="1" spans="1:18" ht="13.5" thickBot="1" x14ac:dyDescent="0.3">
      <c r="A1" s="186" t="s">
        <v>70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87"/>
    </row>
    <row r="2" spans="1:18" ht="14.25" x14ac:dyDescent="0.25">
      <c r="A2" s="160" t="s">
        <v>24</v>
      </c>
      <c r="B2" s="161">
        <v>30</v>
      </c>
      <c r="C2" s="66" t="s">
        <v>33</v>
      </c>
      <c r="D2" s="135" t="s">
        <v>34</v>
      </c>
      <c r="E2" s="162"/>
      <c r="F2" s="163"/>
      <c r="G2" s="163"/>
      <c r="H2" s="163"/>
      <c r="I2" s="164"/>
      <c r="J2" s="164"/>
      <c r="K2" s="92"/>
      <c r="L2" s="175" t="s">
        <v>167</v>
      </c>
      <c r="M2" s="176">
        <f>21500*M3*(B2/10)^(1/3)*(1-0.3*B3/100)</f>
        <v>31008.365761609279</v>
      </c>
      <c r="N2" s="66" t="s">
        <v>33</v>
      </c>
      <c r="O2" s="174" t="s">
        <v>166</v>
      </c>
      <c r="P2" s="165"/>
      <c r="Q2" s="165"/>
      <c r="R2" s="166"/>
    </row>
    <row r="3" spans="1:18" ht="14.25" x14ac:dyDescent="0.25">
      <c r="A3" s="51" t="s">
        <v>66</v>
      </c>
      <c r="B3" s="25">
        <v>0</v>
      </c>
      <c r="C3" s="67" t="s">
        <v>48</v>
      </c>
      <c r="D3" s="52" t="s">
        <v>67</v>
      </c>
      <c r="E3" s="53"/>
      <c r="F3" s="19"/>
      <c r="G3" s="19"/>
      <c r="H3" s="19"/>
      <c r="I3" s="16"/>
      <c r="J3" s="16"/>
      <c r="K3" s="93"/>
      <c r="L3" s="177" t="s">
        <v>169</v>
      </c>
      <c r="M3" s="172">
        <v>1</v>
      </c>
      <c r="N3" s="38" t="s">
        <v>168</v>
      </c>
      <c r="O3" s="23"/>
      <c r="P3" s="23"/>
      <c r="Q3" s="23"/>
      <c r="R3" s="33"/>
    </row>
    <row r="4" spans="1:18" ht="14.25" x14ac:dyDescent="0.25">
      <c r="A4" s="51" t="s">
        <v>30</v>
      </c>
      <c r="B4" s="16">
        <f>IF(E5="32.5N",800,IF(E5="32.5R",700,IF(E5="42.5N",700,IF(E5="42.5R",600,IF(E5="52.5N",600,600)))))</f>
        <v>700</v>
      </c>
      <c r="C4" s="68"/>
      <c r="D4" s="52" t="s">
        <v>35</v>
      </c>
      <c r="E4" s="53"/>
      <c r="F4" s="19"/>
      <c r="G4" s="19"/>
      <c r="H4" s="19"/>
      <c r="I4" s="16"/>
      <c r="J4" s="16"/>
      <c r="K4" s="93"/>
      <c r="L4" s="21" t="s">
        <v>171</v>
      </c>
      <c r="M4" s="178">
        <f>B2*EXP(M5*(1-SQRT(28/J11)))</f>
        <v>30</v>
      </c>
      <c r="N4" s="69" t="s">
        <v>33</v>
      </c>
      <c r="O4" s="38" t="s">
        <v>172</v>
      </c>
      <c r="P4" s="23"/>
      <c r="Q4" s="23"/>
      <c r="R4" s="33"/>
    </row>
    <row r="5" spans="1:18" ht="14.25" x14ac:dyDescent="0.25">
      <c r="A5" s="51" t="s">
        <v>31</v>
      </c>
      <c r="B5" s="19">
        <f>ROUND(-B4*((B2/10)/(6+(B2/10)))^2.5,2)</f>
        <v>-44.91</v>
      </c>
      <c r="C5" s="69">
        <f>1/10^6</f>
        <v>9.9999999999999995E-7</v>
      </c>
      <c r="D5" s="16" t="s">
        <v>178</v>
      </c>
      <c r="E5" s="181" t="s">
        <v>180</v>
      </c>
      <c r="F5" s="182" t="s">
        <v>179</v>
      </c>
      <c r="G5" s="19"/>
      <c r="H5" s="19"/>
      <c r="I5" s="16"/>
      <c r="J5" s="16"/>
      <c r="K5" s="93"/>
      <c r="L5" s="177" t="s">
        <v>101</v>
      </c>
      <c r="M5" s="180">
        <f>IF(E5="32.5N",0.38,IF(E5="32.5R",0.25,IF(E5="42.5N",0.25,IF(E5="42.5R",0.2,IF(E5="52.5N",0.2,0.2)))))</f>
        <v>0.25</v>
      </c>
      <c r="N5" s="38" t="s">
        <v>173</v>
      </c>
      <c r="O5" s="23"/>
      <c r="P5" s="23"/>
      <c r="Q5" s="23"/>
      <c r="R5" s="33"/>
    </row>
    <row r="6" spans="1:18" ht="14.25" x14ac:dyDescent="0.25">
      <c r="A6" s="51" t="s">
        <v>25</v>
      </c>
      <c r="B6" s="16">
        <f>IF(E5="32.5N",3,IF(E5="32.5R",4,IF(E5="42.5N",4,IF(E5="42.5R",6,IF(E5="52.5N",6,6)))))</f>
        <v>4</v>
      </c>
      <c r="C6" s="68"/>
      <c r="D6" s="52" t="s">
        <v>36</v>
      </c>
      <c r="E6" s="19"/>
      <c r="F6" s="19"/>
      <c r="G6" s="19"/>
      <c r="H6" s="19"/>
      <c r="I6" s="16"/>
      <c r="J6" s="16"/>
      <c r="K6" s="93"/>
      <c r="L6" s="21" t="s">
        <v>170</v>
      </c>
      <c r="M6" s="179">
        <f>M2*SQRT(EXP(M5*(1-SQRT(28/J11))))</f>
        <v>31008.365761609279</v>
      </c>
      <c r="N6" s="69" t="s">
        <v>33</v>
      </c>
      <c r="O6" s="38" t="s">
        <v>174</v>
      </c>
      <c r="P6" s="23"/>
      <c r="Q6" s="23"/>
      <c r="R6" s="33"/>
    </row>
    <row r="7" spans="1:18" ht="14.25" x14ac:dyDescent="0.25">
      <c r="A7" s="51" t="s">
        <v>26</v>
      </c>
      <c r="B7" s="16">
        <f>IF(E5="32.5N",0.013,IF(E5="32.5R",0.012,IF(E5="42.5N",0.012,IF(E5="42.5R",0.012,IF(E5="52.5N",0.012,0.012)))))</f>
        <v>1.2E-2</v>
      </c>
      <c r="C7" s="68"/>
      <c r="D7" s="52" t="s">
        <v>37</v>
      </c>
      <c r="E7" s="19"/>
      <c r="F7" s="19"/>
      <c r="G7" s="19"/>
      <c r="H7" s="19"/>
      <c r="I7" s="16"/>
      <c r="J7" s="16"/>
      <c r="K7" s="94"/>
      <c r="L7" s="21" t="s">
        <v>175</v>
      </c>
      <c r="M7" s="178">
        <f>0.3*(M4-8)^(2/3)</f>
        <v>2.3554273231619072</v>
      </c>
      <c r="N7" s="69" t="s">
        <v>33</v>
      </c>
      <c r="O7" s="38" t="s">
        <v>176</v>
      </c>
      <c r="P7" s="23"/>
      <c r="Q7" s="23"/>
      <c r="R7" s="33"/>
    </row>
    <row r="8" spans="1:18" ht="14.25" x14ac:dyDescent="0.25">
      <c r="A8" s="51" t="s">
        <v>27</v>
      </c>
      <c r="B8" s="19">
        <f>ROUND((220+110*B6)*EXP(-B7*B2),2)</f>
        <v>460.47</v>
      </c>
      <c r="C8" s="69">
        <f>1/10^6</f>
        <v>9.9999999999999995E-7</v>
      </c>
      <c r="D8" s="16"/>
      <c r="E8" s="18"/>
      <c r="F8" s="19"/>
      <c r="G8" s="195" t="s">
        <v>41</v>
      </c>
      <c r="H8" s="80" t="s">
        <v>1</v>
      </c>
      <c r="I8" s="81">
        <v>150</v>
      </c>
      <c r="J8" s="97" t="s">
        <v>32</v>
      </c>
      <c r="K8" s="194" t="s">
        <v>42</v>
      </c>
      <c r="L8" s="82"/>
      <c r="M8" s="82"/>
      <c r="N8" s="83"/>
      <c r="O8" s="23"/>
      <c r="P8" s="23"/>
      <c r="Q8" s="23"/>
      <c r="R8" s="33"/>
    </row>
    <row r="9" spans="1:18" ht="14.25" x14ac:dyDescent="0.25">
      <c r="A9" s="51" t="s">
        <v>28</v>
      </c>
      <c r="B9" s="27">
        <f>MIN((35/B2)^0.1,1)</f>
        <v>1</v>
      </c>
      <c r="C9" s="70"/>
      <c r="D9" s="54"/>
      <c r="E9" s="16"/>
      <c r="F9" s="19"/>
      <c r="G9" s="196"/>
      <c r="H9" s="84" t="s">
        <v>39</v>
      </c>
      <c r="I9" s="85">
        <v>230</v>
      </c>
      <c r="J9" s="86" t="s">
        <v>32</v>
      </c>
      <c r="K9" s="184"/>
      <c r="L9" s="84" t="s">
        <v>43</v>
      </c>
      <c r="M9" s="85">
        <v>300</v>
      </c>
      <c r="N9" s="86" t="s">
        <v>32</v>
      </c>
      <c r="O9" s="23"/>
      <c r="P9" s="23"/>
      <c r="Q9" s="23"/>
      <c r="R9" s="33"/>
    </row>
    <row r="10" spans="1:18" ht="15.75" x14ac:dyDescent="0.25">
      <c r="A10" s="51" t="s">
        <v>29</v>
      </c>
      <c r="B10" s="25">
        <v>90.8</v>
      </c>
      <c r="C10" s="71" t="s">
        <v>32</v>
      </c>
      <c r="D10" s="52" t="s">
        <v>38</v>
      </c>
      <c r="E10" s="16"/>
      <c r="F10" s="19"/>
      <c r="G10" s="197"/>
      <c r="H10" s="87" t="s">
        <v>40</v>
      </c>
      <c r="I10" s="88">
        <f>2*I8*I9/(2*I8+2*I9)</f>
        <v>90.78947368421052</v>
      </c>
      <c r="J10" s="89" t="s">
        <v>32</v>
      </c>
      <c r="K10" s="185"/>
      <c r="L10" s="87" t="s">
        <v>40</v>
      </c>
      <c r="M10" s="88">
        <f>2*M9^2*PI()/4/(2*M9*PI())</f>
        <v>75</v>
      </c>
      <c r="N10" s="89" t="s">
        <v>32</v>
      </c>
      <c r="O10" s="23"/>
      <c r="P10" s="23"/>
      <c r="Q10" s="23"/>
      <c r="R10" s="33"/>
    </row>
    <row r="11" spans="1:18" ht="14.25" x14ac:dyDescent="0.25">
      <c r="A11" s="51" t="s">
        <v>64</v>
      </c>
      <c r="B11" s="55">
        <v>1</v>
      </c>
      <c r="C11" s="71"/>
      <c r="D11" s="38" t="s">
        <v>63</v>
      </c>
      <c r="E11" s="16"/>
      <c r="F11" s="19"/>
      <c r="G11" s="56"/>
      <c r="H11" s="95"/>
      <c r="I11" s="20" t="s">
        <v>73</v>
      </c>
      <c r="J11" s="60">
        <v>28</v>
      </c>
      <c r="K11" s="76" t="s">
        <v>51</v>
      </c>
      <c r="L11" s="38" t="s">
        <v>146</v>
      </c>
      <c r="M11" s="58"/>
      <c r="N11" s="38"/>
      <c r="O11" s="23"/>
      <c r="P11" s="23"/>
      <c r="Q11" s="23"/>
      <c r="R11" s="33"/>
    </row>
    <row r="12" spans="1:18" ht="14.25" x14ac:dyDescent="0.25">
      <c r="A12" s="51" t="s">
        <v>65</v>
      </c>
      <c r="B12" s="55">
        <v>1</v>
      </c>
      <c r="C12" s="71"/>
      <c r="D12" s="38" t="s">
        <v>63</v>
      </c>
      <c r="E12" s="16"/>
      <c r="F12" s="19"/>
      <c r="G12" s="56"/>
      <c r="H12" s="96"/>
      <c r="I12" s="20" t="s">
        <v>162</v>
      </c>
      <c r="J12" s="173">
        <f>MAX(0.5,J11*(9/(2+J11^1.2)+1)^M13)</f>
        <v>28</v>
      </c>
      <c r="K12" s="76" t="s">
        <v>51</v>
      </c>
      <c r="L12" s="38" t="s">
        <v>163</v>
      </c>
      <c r="M12" s="23"/>
      <c r="N12" s="23"/>
      <c r="O12" s="23"/>
      <c r="P12" s="23"/>
      <c r="Q12" s="23"/>
      <c r="R12" s="33"/>
    </row>
    <row r="13" spans="1:18" ht="14.25" x14ac:dyDescent="0.25">
      <c r="A13" s="51" t="s">
        <v>68</v>
      </c>
      <c r="B13" s="55">
        <f>MAX(1,(B3/B2)^0.3)</f>
        <v>1</v>
      </c>
      <c r="C13" s="71"/>
      <c r="D13" s="38" t="s">
        <v>69</v>
      </c>
      <c r="E13" s="16"/>
      <c r="F13" s="19"/>
      <c r="G13" s="56"/>
      <c r="H13" s="96"/>
      <c r="I13" s="59" t="s">
        <v>72</v>
      </c>
      <c r="J13" s="23">
        <f>ROUND(SQRT(35/B2),3)</f>
        <v>1.08</v>
      </c>
      <c r="K13" s="77"/>
      <c r="L13" s="21" t="s">
        <v>164</v>
      </c>
      <c r="M13" s="180">
        <f>IF(E5="32.5N",-1,IF(E5="32.5R",0,IF(E5="42.5N",0,IF(E5="42.5R",1,IF(E5="52.5N",1,1)))))</f>
        <v>0</v>
      </c>
      <c r="N13" s="38" t="s">
        <v>165</v>
      </c>
      <c r="O13" s="23"/>
      <c r="P13" s="23"/>
      <c r="Q13" s="23"/>
      <c r="R13" s="33"/>
    </row>
    <row r="14" spans="1:18" ht="14.25" x14ac:dyDescent="0.25">
      <c r="A14" s="51" t="s">
        <v>44</v>
      </c>
      <c r="B14" s="26">
        <v>21</v>
      </c>
      <c r="C14" s="72" t="s">
        <v>45</v>
      </c>
      <c r="D14" s="52" t="s">
        <v>46</v>
      </c>
      <c r="E14" s="19"/>
      <c r="F14" s="19"/>
      <c r="G14" s="19"/>
      <c r="H14" s="96"/>
      <c r="I14" s="47" t="s">
        <v>71</v>
      </c>
      <c r="J14" s="23">
        <f>MAX(1.5*B10+250*J13,1500*J13)</f>
        <v>1620</v>
      </c>
      <c r="K14" s="78"/>
      <c r="L14" s="52" t="s">
        <v>147</v>
      </c>
      <c r="M14" s="23"/>
      <c r="N14" s="23"/>
      <c r="O14" s="23"/>
      <c r="P14" s="23"/>
      <c r="Q14" s="23"/>
      <c r="R14" s="33"/>
    </row>
    <row r="15" spans="1:18" ht="14.25" x14ac:dyDescent="0.25">
      <c r="A15" s="34" t="s">
        <v>47</v>
      </c>
      <c r="B15" s="26">
        <v>44.3</v>
      </c>
      <c r="C15" s="73" t="s">
        <v>48</v>
      </c>
      <c r="D15" s="52" t="s">
        <v>49</v>
      </c>
      <c r="E15" s="23"/>
      <c r="F15" s="23"/>
      <c r="G15" s="23"/>
      <c r="H15" s="68"/>
      <c r="I15" s="20" t="s">
        <v>74</v>
      </c>
      <c r="J15" s="58">
        <f>B17-J12</f>
        <v>429</v>
      </c>
      <c r="K15" s="76" t="s">
        <v>51</v>
      </c>
      <c r="L15" s="21" t="s">
        <v>94</v>
      </c>
      <c r="M15" s="79">
        <v>1</v>
      </c>
      <c r="N15" s="38" t="s">
        <v>63</v>
      </c>
      <c r="O15" s="23"/>
      <c r="P15" s="23"/>
      <c r="Q15" s="23"/>
      <c r="R15" s="33"/>
    </row>
    <row r="16" spans="1:18" ht="12.75" customHeight="1" x14ac:dyDescent="0.25">
      <c r="A16" s="62" t="s">
        <v>75</v>
      </c>
      <c r="B16" s="26">
        <v>2</v>
      </c>
      <c r="C16" s="67" t="s">
        <v>51</v>
      </c>
      <c r="D16" s="52" t="s">
        <v>76</v>
      </c>
      <c r="E16" s="23"/>
      <c r="F16" s="23"/>
      <c r="G16" s="23"/>
      <c r="H16" s="68"/>
      <c r="I16" s="47" t="s">
        <v>79</v>
      </c>
      <c r="J16" s="61">
        <f>ROUND(1.8/($B$2^0.7),4)</f>
        <v>0.16650000000000001</v>
      </c>
      <c r="K16" s="76"/>
      <c r="L16" s="21" t="s">
        <v>95</v>
      </c>
      <c r="M16" s="79">
        <v>1</v>
      </c>
      <c r="N16" s="38" t="s">
        <v>63</v>
      </c>
      <c r="O16" s="23"/>
      <c r="P16" s="23"/>
      <c r="Q16" s="23"/>
      <c r="R16" s="33"/>
    </row>
    <row r="17" spans="1:18" ht="15" thickBot="1" x14ac:dyDescent="0.3">
      <c r="A17" s="34" t="s">
        <v>77</v>
      </c>
      <c r="B17" s="26">
        <v>457</v>
      </c>
      <c r="C17" s="67" t="s">
        <v>51</v>
      </c>
      <c r="D17" s="52" t="s">
        <v>78</v>
      </c>
      <c r="E17" s="23"/>
      <c r="F17" s="23"/>
      <c r="G17" s="23"/>
      <c r="H17" s="68"/>
      <c r="I17" s="21" t="s">
        <v>80</v>
      </c>
      <c r="J17" s="63">
        <f>ROUND(LN((30/$J$12+0.035)^2*J15/M15+1),4)</f>
        <v>6.2656000000000001</v>
      </c>
      <c r="K17" s="76"/>
      <c r="L17" s="21" t="s">
        <v>96</v>
      </c>
      <c r="M17" s="79">
        <f>MAX(1,1.12*(B3/B2)^0.15)</f>
        <v>1</v>
      </c>
      <c r="N17" s="38" t="s">
        <v>69</v>
      </c>
      <c r="O17" s="23"/>
      <c r="P17" s="23"/>
      <c r="Q17" s="23"/>
      <c r="R17" s="33"/>
    </row>
    <row r="18" spans="1:18" ht="15" thickBot="1" x14ac:dyDescent="0.3">
      <c r="A18" s="62" t="s">
        <v>50</v>
      </c>
      <c r="B18" s="24">
        <f>B17-B16</f>
        <v>455</v>
      </c>
      <c r="C18" s="67" t="s">
        <v>51</v>
      </c>
      <c r="D18" s="52" t="s">
        <v>52</v>
      </c>
      <c r="E18" s="23"/>
      <c r="F18" s="23"/>
      <c r="G18" s="23"/>
      <c r="H18" s="68"/>
      <c r="I18" s="47" t="s">
        <v>82</v>
      </c>
      <c r="J18" s="61">
        <f>ROUND(412/(B2^1.4),4)</f>
        <v>3.5230999999999999</v>
      </c>
      <c r="K18" s="68"/>
      <c r="L18" s="198" t="s">
        <v>89</v>
      </c>
      <c r="M18" s="199"/>
      <c r="N18" s="23"/>
      <c r="O18" s="23"/>
      <c r="P18" s="23"/>
      <c r="Q18" s="23"/>
      <c r="R18" s="33"/>
    </row>
    <row r="19" spans="1:18" ht="15" thickBot="1" x14ac:dyDescent="0.3">
      <c r="A19" s="51" t="s">
        <v>53</v>
      </c>
      <c r="B19" s="22">
        <f>ROUND(1-EXP(-0.2*B11*SQRT(B18)),3)</f>
        <v>0.98599999999999999</v>
      </c>
      <c r="C19" s="67"/>
      <c r="D19" s="52"/>
      <c r="E19" s="186" t="s">
        <v>57</v>
      </c>
      <c r="F19" s="187"/>
      <c r="G19" s="23"/>
      <c r="H19" s="68"/>
      <c r="I19" s="21" t="s">
        <v>83</v>
      </c>
      <c r="J19" s="37">
        <f>ROUND((1-B15/100)/((0.1*$B$10/100)^(1/3)),4)</f>
        <v>1.2393000000000001</v>
      </c>
      <c r="K19" s="23"/>
      <c r="L19" s="188" t="s">
        <v>62</v>
      </c>
      <c r="M19" s="189"/>
      <c r="N19" s="23"/>
      <c r="O19" s="23"/>
      <c r="P19" s="23"/>
      <c r="Q19" s="23"/>
      <c r="R19" s="33"/>
    </row>
    <row r="20" spans="1:18" ht="15" customHeight="1" thickBot="1" x14ac:dyDescent="0.3">
      <c r="A20" s="51" t="s">
        <v>54</v>
      </c>
      <c r="B20" s="22">
        <f>ROUND(IF(B15&lt;99*$B$9,-1.55*(1-(B15/100)^3),0.25),3)</f>
        <v>-1.415</v>
      </c>
      <c r="C20" s="68"/>
      <c r="D20" s="23"/>
      <c r="E20" s="188" t="s">
        <v>62</v>
      </c>
      <c r="F20" s="189"/>
      <c r="G20" s="36"/>
      <c r="H20" s="68"/>
      <c r="I20" s="21" t="s">
        <v>84</v>
      </c>
      <c r="J20" s="37">
        <f>ROUND(1/(0.1+$J$12^0.2),4)</f>
        <v>0.4884</v>
      </c>
      <c r="K20" s="23"/>
      <c r="L20" s="39" t="s">
        <v>90</v>
      </c>
      <c r="M20" s="168">
        <f>J16*M17</f>
        <v>0.16650000000000001</v>
      </c>
      <c r="N20" s="23"/>
      <c r="O20" s="23"/>
      <c r="P20" s="23"/>
      <c r="Q20" s="23"/>
      <c r="R20" s="33"/>
    </row>
    <row r="21" spans="1:18" ht="14.25" x14ac:dyDescent="0.25">
      <c r="A21" s="51" t="s">
        <v>55</v>
      </c>
      <c r="B21" s="22">
        <f>ROUND(SQRT(B18/(0.035*$B$10^2*B12+B18)),3)</f>
        <v>0.78200000000000003</v>
      </c>
      <c r="C21" s="68"/>
      <c r="D21" s="23"/>
      <c r="E21" s="43" t="s">
        <v>58</v>
      </c>
      <c r="F21" s="167">
        <f>B13*B5/10^6</f>
        <v>-4.4909999999999995E-5</v>
      </c>
      <c r="G21" s="35"/>
      <c r="H21" s="68"/>
      <c r="I21" s="47" t="s">
        <v>86</v>
      </c>
      <c r="J21" s="23">
        <f>ROUND(1/(2.3+3.5/SQRT($J$12)),4)</f>
        <v>0.3377</v>
      </c>
      <c r="K21" s="23"/>
      <c r="L21" s="39" t="s">
        <v>91</v>
      </c>
      <c r="M21" s="40">
        <f>M15</f>
        <v>1</v>
      </c>
      <c r="N21" s="23"/>
      <c r="O21" s="23"/>
      <c r="P21" s="23"/>
      <c r="Q21" s="23"/>
      <c r="R21" s="33"/>
    </row>
    <row r="22" spans="1:18" ht="14.25" x14ac:dyDescent="0.25">
      <c r="A22" s="64" t="s">
        <v>56</v>
      </c>
      <c r="B22" s="28">
        <f>ROUND($B$5*B19*B13,1)</f>
        <v>-44.3</v>
      </c>
      <c r="C22" s="74">
        <f>1/10^6</f>
        <v>9.9999999999999995E-7</v>
      </c>
      <c r="D22" s="23"/>
      <c r="E22" s="44" t="s">
        <v>59</v>
      </c>
      <c r="F22" s="40">
        <f>B11</f>
        <v>1</v>
      </c>
      <c r="G22" s="23"/>
      <c r="H22" s="68"/>
      <c r="I22" s="21" t="s">
        <v>85</v>
      </c>
      <c r="J22" s="37">
        <f>ROUND((J15/($J$14*M16+J15))^$J$21,4)</f>
        <v>0.58979999999999999</v>
      </c>
      <c r="K22" s="23"/>
      <c r="L22" s="39" t="s">
        <v>92</v>
      </c>
      <c r="M22" s="40">
        <f>J18*J19*M17</f>
        <v>4.3661778299999998</v>
      </c>
      <c r="N22" s="23"/>
      <c r="O22" s="23"/>
      <c r="P22" s="23"/>
      <c r="Q22" s="23"/>
      <c r="R22" s="33"/>
    </row>
    <row r="23" spans="1:18" ht="14.25" x14ac:dyDescent="0.25">
      <c r="A23" s="64" t="s">
        <v>129</v>
      </c>
      <c r="B23" s="28">
        <f>ROUND($B$8*B20*B21*B13,1)</f>
        <v>-509.5</v>
      </c>
      <c r="C23" s="74">
        <f>1/10^6</f>
        <v>9.9999999999999995E-7</v>
      </c>
      <c r="D23" s="23"/>
      <c r="E23" s="44" t="s">
        <v>60</v>
      </c>
      <c r="F23" s="167">
        <f>B13*B8*B20/10^6</f>
        <v>-6.5156505000000002E-4</v>
      </c>
      <c r="G23" s="35"/>
      <c r="H23" s="91"/>
      <c r="I23" s="49" t="s">
        <v>81</v>
      </c>
      <c r="J23" s="65">
        <f>J17*J16*M17</f>
        <v>1.0432224000000001</v>
      </c>
      <c r="K23" s="23"/>
      <c r="L23" s="39" t="s">
        <v>93</v>
      </c>
      <c r="M23" s="50">
        <f>J14*M16</f>
        <v>1620</v>
      </c>
      <c r="N23" s="23"/>
      <c r="O23" s="23"/>
      <c r="P23" s="23"/>
      <c r="Q23" s="23"/>
      <c r="R23" s="33"/>
    </row>
    <row r="24" spans="1:18" ht="15" thickBot="1" x14ac:dyDescent="0.3">
      <c r="A24" s="64" t="s">
        <v>130</v>
      </c>
      <c r="B24" s="29">
        <f>B22+B23</f>
        <v>-553.79999999999995</v>
      </c>
      <c r="C24" s="75">
        <f>1/10^6</f>
        <v>9.9999999999999995E-7</v>
      </c>
      <c r="D24" s="23"/>
      <c r="E24" s="45" t="s">
        <v>61</v>
      </c>
      <c r="F24" s="42">
        <f>0.035*$B$10^2*B12</f>
        <v>288.56240000000003</v>
      </c>
      <c r="G24" s="23"/>
      <c r="H24" s="68"/>
      <c r="I24" s="49" t="s">
        <v>87</v>
      </c>
      <c r="J24" s="65">
        <f>J22*J20*J19*J18*M17</f>
        <v>1.2577138505310455</v>
      </c>
      <c r="K24" s="23"/>
      <c r="L24" s="41" t="s">
        <v>177</v>
      </c>
      <c r="M24" s="169">
        <f>M13</f>
        <v>0</v>
      </c>
      <c r="N24" s="23"/>
      <c r="O24" s="23"/>
      <c r="P24" s="23"/>
      <c r="Q24" s="23"/>
      <c r="R24" s="33"/>
    </row>
    <row r="25" spans="1:18" ht="15" thickBot="1" x14ac:dyDescent="0.3">
      <c r="A25" s="30"/>
      <c r="B25" s="31"/>
      <c r="C25" s="90"/>
      <c r="D25" s="31"/>
      <c r="E25" s="31"/>
      <c r="F25" s="31"/>
      <c r="G25" s="31"/>
      <c r="H25" s="90"/>
      <c r="I25" s="170" t="s">
        <v>88</v>
      </c>
      <c r="J25" s="171">
        <f>J24+J23</f>
        <v>2.3009362505310458</v>
      </c>
      <c r="K25" s="90"/>
      <c r="L25" s="31"/>
      <c r="M25" s="31"/>
      <c r="N25" s="31"/>
      <c r="O25" s="31"/>
      <c r="P25" s="31"/>
      <c r="Q25" s="31"/>
      <c r="R25" s="32"/>
    </row>
  </sheetData>
  <mergeCells count="7">
    <mergeCell ref="A1:R1"/>
    <mergeCell ref="K8:K10"/>
    <mergeCell ref="G8:G10"/>
    <mergeCell ref="E20:F20"/>
    <mergeCell ref="E19:F19"/>
    <mergeCell ref="L18:M18"/>
    <mergeCell ref="L19:M19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"/>
  <sheetViews>
    <sheetView zoomScaleNormal="100" workbookViewId="0">
      <selection activeCell="B17" sqref="B17"/>
    </sheetView>
  </sheetViews>
  <sheetFormatPr defaultRowHeight="12.75" x14ac:dyDescent="0.25"/>
  <cols>
    <col min="1" max="1" width="9.5703125" style="100" bestFit="1" customWidth="1"/>
    <col min="2" max="9" width="9.140625" style="100"/>
    <col min="10" max="10" width="10.7109375" style="100" customWidth="1"/>
    <col min="11" max="16384" width="9.140625" style="100"/>
  </cols>
  <sheetData>
    <row r="1" spans="1:20" ht="13.5" thickBot="1" x14ac:dyDescent="0.3">
      <c r="A1" s="190" t="s">
        <v>135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2"/>
    </row>
    <row r="2" spans="1:20" ht="14.25" x14ac:dyDescent="0.25">
      <c r="A2" s="133" t="s">
        <v>24</v>
      </c>
      <c r="B2" s="134">
        <v>28.2</v>
      </c>
      <c r="C2" s="66" t="s">
        <v>33</v>
      </c>
      <c r="D2" s="135" t="s">
        <v>34</v>
      </c>
      <c r="E2" s="136"/>
      <c r="F2" s="137"/>
      <c r="G2" s="137"/>
      <c r="H2" s="137"/>
      <c r="I2" s="138"/>
      <c r="J2" s="138"/>
      <c r="K2" s="138"/>
      <c r="L2" s="123"/>
      <c r="M2" s="183" t="s">
        <v>41</v>
      </c>
      <c r="N2" s="139" t="s">
        <v>1</v>
      </c>
      <c r="O2" s="140">
        <v>200</v>
      </c>
      <c r="P2" s="141" t="s">
        <v>32</v>
      </c>
      <c r="Q2" s="183" t="s">
        <v>42</v>
      </c>
      <c r="R2" s="142"/>
      <c r="S2" s="142"/>
      <c r="T2" s="143"/>
    </row>
    <row r="3" spans="1:20" x14ac:dyDescent="0.25">
      <c r="A3" s="144" t="s">
        <v>97</v>
      </c>
      <c r="B3" s="109">
        <v>44.4</v>
      </c>
      <c r="C3" s="114" t="s">
        <v>32</v>
      </c>
      <c r="D3" s="52" t="s">
        <v>112</v>
      </c>
      <c r="E3" s="106"/>
      <c r="F3" s="98"/>
      <c r="G3" s="98"/>
      <c r="H3" s="98"/>
      <c r="L3" s="124"/>
      <c r="M3" s="184"/>
      <c r="N3" s="84" t="s">
        <v>39</v>
      </c>
      <c r="O3" s="85">
        <v>200</v>
      </c>
      <c r="P3" s="86" t="s">
        <v>32</v>
      </c>
      <c r="Q3" s="184"/>
      <c r="R3" s="84" t="s">
        <v>43</v>
      </c>
      <c r="S3" s="85">
        <v>200</v>
      </c>
      <c r="T3" s="145" t="s">
        <v>32</v>
      </c>
    </row>
    <row r="4" spans="1:20" ht="15.75" x14ac:dyDescent="0.25">
      <c r="A4" s="144" t="s">
        <v>98</v>
      </c>
      <c r="B4" s="101">
        <f>26*EXP(1.42*0.01*B3)</f>
        <v>48.841313265621267</v>
      </c>
      <c r="C4" s="115"/>
      <c r="D4" s="52" t="s">
        <v>142</v>
      </c>
      <c r="E4" s="46"/>
      <c r="F4" s="98"/>
      <c r="G4" s="98"/>
      <c r="H4" s="98"/>
      <c r="L4" s="124"/>
      <c r="M4" s="185"/>
      <c r="N4" s="87" t="s">
        <v>132</v>
      </c>
      <c r="O4" s="88">
        <f>O2*O3/(2*O2+2*O3)</f>
        <v>50</v>
      </c>
      <c r="P4" s="89" t="s">
        <v>32</v>
      </c>
      <c r="Q4" s="185"/>
      <c r="R4" s="87" t="s">
        <v>40</v>
      </c>
      <c r="S4" s="88">
        <f>S3^2*PI()/4/(2*S3*PI())</f>
        <v>25</v>
      </c>
      <c r="T4" s="146" t="s">
        <v>32</v>
      </c>
    </row>
    <row r="5" spans="1:20" ht="14.25" x14ac:dyDescent="0.25">
      <c r="A5" s="144" t="s">
        <v>99</v>
      </c>
      <c r="B5" s="109">
        <v>780</v>
      </c>
      <c r="C5" s="116">
        <f>1/10^6</f>
        <v>9.9999999999999995E-7</v>
      </c>
      <c r="D5" s="52" t="s">
        <v>111</v>
      </c>
      <c r="E5" s="107"/>
      <c r="F5" s="98"/>
      <c r="G5" s="98"/>
      <c r="H5" s="98"/>
      <c r="L5" s="124"/>
      <c r="T5" s="147"/>
    </row>
    <row r="6" spans="1:20" ht="14.25" x14ac:dyDescent="0.25">
      <c r="A6" s="144" t="s">
        <v>100</v>
      </c>
      <c r="B6" s="98">
        <f>ROUND(1.2*EXP(-0.00472*B3),3)</f>
        <v>0.97299999999999998</v>
      </c>
      <c r="C6" s="117"/>
      <c r="D6" s="52" t="s">
        <v>113</v>
      </c>
      <c r="E6" s="98"/>
      <c r="F6" s="98"/>
      <c r="G6" s="98"/>
      <c r="H6" s="98"/>
      <c r="L6" s="124"/>
      <c r="M6" s="99" t="s">
        <v>136</v>
      </c>
      <c r="N6" s="125">
        <f>B4</f>
        <v>48.841313265621267</v>
      </c>
      <c r="P6" s="52" t="s">
        <v>143</v>
      </c>
      <c r="T6" s="147"/>
    </row>
    <row r="7" spans="1:20" x14ac:dyDescent="0.25">
      <c r="A7" s="144" t="s">
        <v>101</v>
      </c>
      <c r="B7" s="109">
        <v>90</v>
      </c>
      <c r="C7" s="114" t="s">
        <v>32</v>
      </c>
      <c r="D7" s="108" t="s">
        <v>145</v>
      </c>
      <c r="E7" s="98"/>
      <c r="F7" s="98"/>
      <c r="G7" s="98"/>
      <c r="H7" s="98"/>
      <c r="L7" s="124"/>
      <c r="M7" s="99" t="s">
        <v>137</v>
      </c>
      <c r="N7" s="109">
        <v>1</v>
      </c>
      <c r="P7" s="52" t="s">
        <v>144</v>
      </c>
      <c r="T7" s="147"/>
    </row>
    <row r="8" spans="1:20" ht="14.25" x14ac:dyDescent="0.25">
      <c r="A8" s="144" t="s">
        <v>102</v>
      </c>
      <c r="B8" s="101">
        <f>IF(B7="",1,ROUND(0.89+0.00161*B7,3))</f>
        <v>1.0349999999999999</v>
      </c>
      <c r="C8" s="117"/>
      <c r="D8" s="52" t="s">
        <v>114</v>
      </c>
      <c r="E8" s="98"/>
      <c r="F8" s="98"/>
      <c r="G8" s="98"/>
      <c r="H8" s="98"/>
      <c r="L8" s="124"/>
      <c r="M8" s="99" t="s">
        <v>138</v>
      </c>
      <c r="N8" s="100">
        <f>ROUND((2/3)*(1+1.13*EXP(-0.0213*B3)),3)</f>
        <v>0.95899999999999996</v>
      </c>
      <c r="P8" s="52" t="s">
        <v>113</v>
      </c>
      <c r="T8" s="147"/>
    </row>
    <row r="9" spans="1:20" ht="14.25" x14ac:dyDescent="0.25">
      <c r="A9" s="144" t="s">
        <v>103</v>
      </c>
      <c r="B9" s="102"/>
      <c r="C9" s="117"/>
      <c r="D9" s="110" t="s">
        <v>117</v>
      </c>
      <c r="E9" s="98"/>
      <c r="F9" s="98"/>
      <c r="G9" s="98"/>
      <c r="H9" s="98"/>
      <c r="L9" s="124"/>
      <c r="M9" s="99" t="s">
        <v>139</v>
      </c>
      <c r="N9" s="125">
        <f>IF(B7="",1,ROUND(0.82+0.00264*B7,3))</f>
        <v>1.0580000000000001</v>
      </c>
      <c r="P9" s="52" t="s">
        <v>114</v>
      </c>
      <c r="T9" s="147"/>
    </row>
    <row r="10" spans="1:20" ht="14.25" x14ac:dyDescent="0.25">
      <c r="A10" s="144" t="s">
        <v>104</v>
      </c>
      <c r="B10" s="101">
        <f>IF(B9="",1,ROUND(IF(B9&lt;0.5,0.3+0.014*B9,0.9+0.002*B9),3))</f>
        <v>1</v>
      </c>
      <c r="C10" s="117"/>
      <c r="D10" s="52" t="s">
        <v>115</v>
      </c>
      <c r="E10" s="98"/>
      <c r="F10" s="98"/>
      <c r="G10" s="98"/>
      <c r="H10" s="98"/>
      <c r="L10" s="124"/>
      <c r="M10" s="99" t="s">
        <v>140</v>
      </c>
      <c r="N10" s="125">
        <f>IF(B9="",1,ROUND(0.88+0.0024*B9,3))</f>
        <v>1</v>
      </c>
      <c r="P10" s="52" t="s">
        <v>115</v>
      </c>
      <c r="T10" s="147"/>
    </row>
    <row r="11" spans="1:20" ht="14.25" x14ac:dyDescent="0.25">
      <c r="A11" s="144" t="s">
        <v>105</v>
      </c>
      <c r="B11" s="102"/>
      <c r="C11" s="114" t="s">
        <v>116</v>
      </c>
      <c r="D11" s="52" t="s">
        <v>118</v>
      </c>
      <c r="E11" s="98"/>
      <c r="F11" s="98"/>
      <c r="G11" s="98"/>
      <c r="H11" s="98"/>
      <c r="L11" s="124"/>
      <c r="M11" s="99" t="s">
        <v>141</v>
      </c>
      <c r="N11" s="125">
        <f>IF(B13="",1,MAX(1,0.46+0.09*B13))</f>
        <v>1</v>
      </c>
      <c r="P11" s="52" t="s">
        <v>121</v>
      </c>
      <c r="T11" s="147"/>
    </row>
    <row r="12" spans="1:20" ht="14.25" x14ac:dyDescent="0.25">
      <c r="A12" s="144" t="s">
        <v>106</v>
      </c>
      <c r="B12" s="101">
        <f>IF(B11="",1,ROUND(0.75+0.00061*B11,3))</f>
        <v>1</v>
      </c>
      <c r="C12" s="117"/>
      <c r="D12" s="52" t="s">
        <v>119</v>
      </c>
      <c r="E12" s="98"/>
      <c r="F12" s="98"/>
      <c r="G12" s="98"/>
      <c r="H12" s="98"/>
      <c r="L12" s="124"/>
      <c r="M12" s="20" t="s">
        <v>73</v>
      </c>
      <c r="N12" s="60">
        <v>7</v>
      </c>
      <c r="O12" s="57" t="s">
        <v>51</v>
      </c>
      <c r="P12" s="38" t="s">
        <v>146</v>
      </c>
      <c r="T12" s="147"/>
    </row>
    <row r="13" spans="1:20" ht="14.25" x14ac:dyDescent="0.25">
      <c r="A13" s="144" t="s">
        <v>107</v>
      </c>
      <c r="B13" s="102"/>
      <c r="C13" s="118" t="s">
        <v>48</v>
      </c>
      <c r="D13" s="52" t="s">
        <v>120</v>
      </c>
      <c r="E13" s="98"/>
      <c r="F13" s="98"/>
      <c r="G13" s="98"/>
      <c r="H13" s="98"/>
      <c r="L13" s="124"/>
      <c r="M13" s="20" t="s">
        <v>74</v>
      </c>
      <c r="N13" s="126">
        <f>B16-N12</f>
        <v>1000</v>
      </c>
      <c r="O13" s="57" t="s">
        <v>51</v>
      </c>
      <c r="P13" s="52" t="s">
        <v>147</v>
      </c>
      <c r="T13" s="147"/>
    </row>
    <row r="14" spans="1:20" ht="14.25" x14ac:dyDescent="0.25">
      <c r="A14" s="144" t="s">
        <v>108</v>
      </c>
      <c r="B14" s="101">
        <f>IF(B13="",1,MAX(1,0.95+0.008*B13))</f>
        <v>1</v>
      </c>
      <c r="C14" s="119"/>
      <c r="D14" s="52" t="s">
        <v>121</v>
      </c>
      <c r="E14" s="98"/>
      <c r="F14" s="98"/>
      <c r="G14" s="98"/>
      <c r="H14" s="98"/>
      <c r="L14" s="124"/>
      <c r="M14" s="99" t="s">
        <v>149</v>
      </c>
      <c r="N14" s="125">
        <f>ROUND(1.25/(N12^0.118),4)</f>
        <v>0.99350000000000005</v>
      </c>
      <c r="O14" s="57"/>
      <c r="P14" s="52" t="s">
        <v>148</v>
      </c>
      <c r="T14" s="147"/>
    </row>
    <row r="15" spans="1:20" ht="14.25" x14ac:dyDescent="0.25">
      <c r="A15" s="148" t="s">
        <v>75</v>
      </c>
      <c r="B15" s="109">
        <v>7</v>
      </c>
      <c r="C15" s="120" t="s">
        <v>51</v>
      </c>
      <c r="D15" s="52" t="s">
        <v>76</v>
      </c>
      <c r="E15" s="98"/>
      <c r="F15" s="98"/>
      <c r="G15" s="98"/>
      <c r="H15" s="98"/>
      <c r="L15" s="124"/>
      <c r="M15" s="99" t="s">
        <v>150</v>
      </c>
      <c r="N15" s="125">
        <f>ROUND(IF(B18&gt;40,1.27-0.67*B18/100,1),4)</f>
        <v>0.93500000000000005</v>
      </c>
      <c r="P15" s="52" t="s">
        <v>128</v>
      </c>
      <c r="T15" s="147"/>
    </row>
    <row r="16" spans="1:20" ht="14.25" x14ac:dyDescent="0.25">
      <c r="A16" s="34" t="s">
        <v>77</v>
      </c>
      <c r="B16" s="26">
        <v>1007</v>
      </c>
      <c r="C16" s="67" t="s">
        <v>51</v>
      </c>
      <c r="D16" s="52" t="s">
        <v>78</v>
      </c>
      <c r="E16" s="98"/>
      <c r="F16" s="98"/>
      <c r="G16" s="98"/>
      <c r="H16" s="98"/>
      <c r="L16" s="124"/>
      <c r="M16" s="99" t="s">
        <v>151</v>
      </c>
      <c r="N16" s="127">
        <f>N15*N14*N11*N10*N9*N8</f>
        <v>0.94250520479500011</v>
      </c>
      <c r="P16" s="52" t="s">
        <v>152</v>
      </c>
      <c r="T16" s="147"/>
    </row>
    <row r="17" spans="1:20" ht="14.25" x14ac:dyDescent="0.25">
      <c r="A17" s="62" t="s">
        <v>50</v>
      </c>
      <c r="B17" s="24">
        <f>B16-B15</f>
        <v>1000</v>
      </c>
      <c r="C17" s="67" t="s">
        <v>51</v>
      </c>
      <c r="D17" s="52" t="s">
        <v>52</v>
      </c>
      <c r="E17" s="98"/>
      <c r="F17" s="98"/>
      <c r="G17" s="98"/>
      <c r="H17" s="98"/>
      <c r="L17" s="124"/>
      <c r="M17" s="48" t="s">
        <v>153</v>
      </c>
      <c r="N17" s="129">
        <v>2.35</v>
      </c>
      <c r="P17" s="52" t="s">
        <v>154</v>
      </c>
      <c r="T17" s="147"/>
    </row>
    <row r="18" spans="1:20" x14ac:dyDescent="0.25">
      <c r="A18" s="144" t="s">
        <v>47</v>
      </c>
      <c r="B18" s="109">
        <v>50</v>
      </c>
      <c r="C18" s="118" t="s">
        <v>48</v>
      </c>
      <c r="D18" s="52" t="s">
        <v>124</v>
      </c>
      <c r="E18" s="98"/>
      <c r="F18" s="98"/>
      <c r="G18" s="98"/>
      <c r="H18" s="98"/>
      <c r="L18" s="124"/>
      <c r="P18" s="128" t="s">
        <v>155</v>
      </c>
      <c r="T18" s="147"/>
    </row>
    <row r="19" spans="1:20" ht="15" thickBot="1" x14ac:dyDescent="0.3">
      <c r="A19" s="144" t="s">
        <v>125</v>
      </c>
      <c r="B19" s="101">
        <f>1.202-0.2337*LOG10(B15)</f>
        <v>1.0045005880486682</v>
      </c>
      <c r="C19" s="118"/>
      <c r="D19" s="52" t="s">
        <v>126</v>
      </c>
      <c r="E19" s="98"/>
      <c r="F19" s="98"/>
      <c r="G19" s="98"/>
      <c r="H19" s="98"/>
      <c r="L19" s="124"/>
      <c r="T19" s="147"/>
    </row>
    <row r="20" spans="1:20" ht="15" thickBot="1" x14ac:dyDescent="0.3">
      <c r="A20" s="144" t="s">
        <v>127</v>
      </c>
      <c r="B20" s="98">
        <f>ROUND(IF(B18&lt;80,1.4-1.02*B18/100,3-3*B18/100),3)</f>
        <v>0.89</v>
      </c>
      <c r="C20" s="118"/>
      <c r="D20" s="52" t="s">
        <v>128</v>
      </c>
      <c r="E20" s="98"/>
      <c r="F20" s="98"/>
      <c r="G20" s="98"/>
      <c r="H20" s="98"/>
      <c r="L20" s="124"/>
      <c r="P20" s="186" t="s">
        <v>89</v>
      </c>
      <c r="Q20" s="187"/>
      <c r="T20" s="147"/>
    </row>
    <row r="21" spans="1:20" ht="15" thickBot="1" x14ac:dyDescent="0.3">
      <c r="A21" s="144" t="s">
        <v>109</v>
      </c>
      <c r="B21" s="61">
        <f>ROUND($B$19*$B$20*B6*B8*B10*B12*B14,3)</f>
        <v>0.9</v>
      </c>
      <c r="C21" s="117"/>
      <c r="D21" s="52" t="s">
        <v>122</v>
      </c>
      <c r="E21" s="103"/>
      <c r="F21" s="98"/>
      <c r="G21" s="98"/>
      <c r="H21" s="98"/>
      <c r="I21" s="186" t="s">
        <v>57</v>
      </c>
      <c r="J21" s="187"/>
      <c r="L21" s="124"/>
      <c r="P21" s="188" t="s">
        <v>62</v>
      </c>
      <c r="Q21" s="189"/>
      <c r="T21" s="147"/>
    </row>
    <row r="22" spans="1:20" ht="15" thickBot="1" x14ac:dyDescent="0.3">
      <c r="A22" s="149" t="s">
        <v>110</v>
      </c>
      <c r="B22" s="111">
        <f>ROUND(B5*B21,1)</f>
        <v>702</v>
      </c>
      <c r="C22" s="121">
        <f>1/10^6</f>
        <v>9.9999999999999995E-7</v>
      </c>
      <c r="D22" s="52" t="s">
        <v>123</v>
      </c>
      <c r="E22" s="103"/>
      <c r="F22" s="98"/>
      <c r="G22" s="98"/>
      <c r="H22" s="98"/>
      <c r="I22" s="188" t="s">
        <v>62</v>
      </c>
      <c r="J22" s="189"/>
      <c r="L22" s="124"/>
      <c r="M22" s="49" t="s">
        <v>156</v>
      </c>
      <c r="N22" s="130">
        <f>N17*N16</f>
        <v>2.2148872312682504</v>
      </c>
      <c r="P22" s="43" t="s">
        <v>159</v>
      </c>
      <c r="Q22" s="132">
        <f>N22</f>
        <v>2.2148872312682504</v>
      </c>
      <c r="T22" s="147"/>
    </row>
    <row r="23" spans="1:20" ht="14.25" x14ac:dyDescent="0.25">
      <c r="A23" s="144" t="s">
        <v>157</v>
      </c>
      <c r="B23" s="61">
        <f>ROUND((B17)/($B$4+B17),3)</f>
        <v>0.95299999999999996</v>
      </c>
      <c r="C23" s="122"/>
      <c r="D23" s="98"/>
      <c r="E23" s="103"/>
      <c r="F23" s="98"/>
      <c r="G23" s="98"/>
      <c r="H23" s="98"/>
      <c r="I23" s="43" t="s">
        <v>133</v>
      </c>
      <c r="J23" s="113">
        <f>-B22/10^6</f>
        <v>-7.0200000000000004E-4</v>
      </c>
      <c r="L23" s="124"/>
      <c r="M23" s="99" t="s">
        <v>158</v>
      </c>
      <c r="N23" s="100">
        <f>ROUND((N13^N7)/($N$6+N13^N7),3)</f>
        <v>0.95299999999999996</v>
      </c>
      <c r="P23" s="44" t="s">
        <v>160</v>
      </c>
      <c r="Q23" s="131">
        <f>N7</f>
        <v>1</v>
      </c>
      <c r="T23" s="147"/>
    </row>
    <row r="24" spans="1:20" ht="12.75" customHeight="1" thickBot="1" x14ac:dyDescent="0.3">
      <c r="A24" s="150" t="s">
        <v>131</v>
      </c>
      <c r="B24" s="151">
        <f>B22*B23</f>
        <v>669.00599999999997</v>
      </c>
      <c r="C24" s="152">
        <f>1/10^6</f>
        <v>9.9999999999999995E-7</v>
      </c>
      <c r="D24" s="153"/>
      <c r="E24" s="153"/>
      <c r="F24" s="153"/>
      <c r="G24" s="153"/>
      <c r="H24" s="153"/>
      <c r="I24" s="45" t="s">
        <v>134</v>
      </c>
      <c r="J24" s="42">
        <f>B4</f>
        <v>48.841313265621267</v>
      </c>
      <c r="K24" s="154"/>
      <c r="L24" s="155"/>
      <c r="M24" s="156" t="s">
        <v>88</v>
      </c>
      <c r="N24" s="157">
        <f>N23*N22</f>
        <v>2.1107875313986426</v>
      </c>
      <c r="O24" s="158"/>
      <c r="P24" s="45" t="s">
        <v>161</v>
      </c>
      <c r="Q24" s="42">
        <f>N6</f>
        <v>48.841313265621267</v>
      </c>
      <c r="R24" s="153"/>
      <c r="S24" s="153"/>
      <c r="T24" s="159"/>
    </row>
    <row r="25" spans="1:20" x14ac:dyDescent="0.25">
      <c r="A25" s="46"/>
      <c r="J25" s="112"/>
      <c r="K25" s="105"/>
      <c r="P25" s="104"/>
    </row>
  </sheetData>
  <mergeCells count="7">
    <mergeCell ref="M2:M4"/>
    <mergeCell ref="Q2:Q4"/>
    <mergeCell ref="I21:J21"/>
    <mergeCell ref="I22:J22"/>
    <mergeCell ref="A1:T1"/>
    <mergeCell ref="P20:Q20"/>
    <mergeCell ref="P21:Q2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3"/>
  <sheetViews>
    <sheetView zoomScaleNormal="100" workbookViewId="0">
      <selection activeCell="D2" sqref="D2"/>
    </sheetView>
  </sheetViews>
  <sheetFormatPr defaultRowHeight="15" x14ac:dyDescent="0.25"/>
  <cols>
    <col min="1" max="5" width="9.140625" style="7"/>
  </cols>
  <sheetData>
    <row r="1" spans="1:8" ht="15.75" thickBot="1" x14ac:dyDescent="0.3">
      <c r="A1" s="1" t="s">
        <v>0</v>
      </c>
      <c r="B1" s="2">
        <v>5000</v>
      </c>
      <c r="C1" t="s">
        <v>1</v>
      </c>
      <c r="D1" s="13">
        <v>0.8</v>
      </c>
      <c r="E1" t="s">
        <v>2</v>
      </c>
      <c r="F1" s="3">
        <v>0.5</v>
      </c>
      <c r="G1" t="s">
        <v>3</v>
      </c>
      <c r="H1" s="3">
        <f>F1/B1*10^6</f>
        <v>100</v>
      </c>
    </row>
    <row r="2" spans="1:8" ht="15.75" thickTop="1" x14ac:dyDescent="0.25">
      <c r="A2" s="4">
        <v>0</v>
      </c>
      <c r="B2" s="5">
        <f>$B$1*A2/10^6</f>
        <v>0</v>
      </c>
      <c r="C2" t="s">
        <v>4</v>
      </c>
      <c r="D2"/>
      <c r="E2"/>
    </row>
    <row r="3" spans="1:8" x14ac:dyDescent="0.25">
      <c r="A3" s="4">
        <f>A2-10</f>
        <v>-10</v>
      </c>
      <c r="B3" s="5">
        <f t="shared" ref="B3:B66" si="0">$B$1*A3/10^6</f>
        <v>-0.05</v>
      </c>
      <c r="C3"/>
      <c r="D3"/>
      <c r="E3"/>
    </row>
    <row r="4" spans="1:8" s="7" customFormat="1" x14ac:dyDescent="0.25">
      <c r="A4" s="4">
        <f t="shared" ref="A4:A62" si="1">A3-10</f>
        <v>-20</v>
      </c>
      <c r="B4" s="6">
        <f t="shared" si="0"/>
        <v>-0.1</v>
      </c>
    </row>
    <row r="5" spans="1:8" s="7" customFormat="1" x14ac:dyDescent="0.25">
      <c r="A5" s="4">
        <f t="shared" si="1"/>
        <v>-30</v>
      </c>
      <c r="B5" s="6">
        <f t="shared" si="0"/>
        <v>-0.15</v>
      </c>
    </row>
    <row r="6" spans="1:8" s="7" customFormat="1" x14ac:dyDescent="0.25">
      <c r="A6" s="4">
        <f t="shared" si="1"/>
        <v>-40</v>
      </c>
      <c r="B6" s="6">
        <f t="shared" si="0"/>
        <v>-0.2</v>
      </c>
    </row>
    <row r="7" spans="1:8" s="7" customFormat="1" x14ac:dyDescent="0.25">
      <c r="A7" s="4">
        <f t="shared" si="1"/>
        <v>-50</v>
      </c>
      <c r="B7" s="6">
        <f t="shared" si="0"/>
        <v>-0.25</v>
      </c>
    </row>
    <row r="8" spans="1:8" s="7" customFormat="1" x14ac:dyDescent="0.25">
      <c r="A8" s="4">
        <f t="shared" si="1"/>
        <v>-60</v>
      </c>
      <c r="B8" s="6">
        <f t="shared" si="0"/>
        <v>-0.3</v>
      </c>
    </row>
    <row r="9" spans="1:8" s="7" customFormat="1" x14ac:dyDescent="0.25">
      <c r="A9" s="4">
        <f t="shared" si="1"/>
        <v>-70</v>
      </c>
      <c r="B9" s="6">
        <f t="shared" si="0"/>
        <v>-0.35</v>
      </c>
    </row>
    <row r="10" spans="1:8" s="7" customFormat="1" x14ac:dyDescent="0.25">
      <c r="A10" s="4">
        <f t="shared" si="1"/>
        <v>-80</v>
      </c>
      <c r="B10" s="6">
        <f t="shared" si="0"/>
        <v>-0.4</v>
      </c>
    </row>
    <row r="11" spans="1:8" s="7" customFormat="1" x14ac:dyDescent="0.25">
      <c r="A11" s="4">
        <f t="shared" si="1"/>
        <v>-90</v>
      </c>
      <c r="B11" s="6">
        <f t="shared" si="0"/>
        <v>-0.45</v>
      </c>
    </row>
    <row r="12" spans="1:8" s="7" customFormat="1" x14ac:dyDescent="0.25">
      <c r="A12" s="4">
        <f t="shared" si="1"/>
        <v>-100</v>
      </c>
      <c r="B12" s="6">
        <f t="shared" si="0"/>
        <v>-0.5</v>
      </c>
    </row>
    <row r="13" spans="1:8" s="7" customFormat="1" x14ac:dyDescent="0.25">
      <c r="A13" s="4">
        <f t="shared" si="1"/>
        <v>-110</v>
      </c>
      <c r="B13" s="6">
        <f t="shared" si="0"/>
        <v>-0.55000000000000004</v>
      </c>
    </row>
    <row r="14" spans="1:8" s="7" customFormat="1" x14ac:dyDescent="0.25">
      <c r="A14" s="4">
        <f t="shared" si="1"/>
        <v>-120</v>
      </c>
      <c r="B14" s="6">
        <f t="shared" si="0"/>
        <v>-0.6</v>
      </c>
    </row>
    <row r="15" spans="1:8" s="7" customFormat="1" x14ac:dyDescent="0.25">
      <c r="A15" s="4">
        <f t="shared" si="1"/>
        <v>-130</v>
      </c>
      <c r="B15" s="6">
        <f t="shared" si="0"/>
        <v>-0.65</v>
      </c>
    </row>
    <row r="16" spans="1:8" s="7" customFormat="1" x14ac:dyDescent="0.25">
      <c r="A16" s="4">
        <f t="shared" si="1"/>
        <v>-140</v>
      </c>
      <c r="B16" s="6">
        <f t="shared" si="0"/>
        <v>-0.7</v>
      </c>
    </row>
    <row r="17" spans="1:2" s="7" customFormat="1" x14ac:dyDescent="0.25">
      <c r="A17" s="4">
        <f t="shared" si="1"/>
        <v>-150</v>
      </c>
      <c r="B17" s="6">
        <f t="shared" si="0"/>
        <v>-0.75</v>
      </c>
    </row>
    <row r="18" spans="1:2" s="7" customFormat="1" x14ac:dyDescent="0.25">
      <c r="A18" s="4">
        <f t="shared" si="1"/>
        <v>-160</v>
      </c>
      <c r="B18" s="6">
        <f t="shared" si="0"/>
        <v>-0.8</v>
      </c>
    </row>
    <row r="19" spans="1:2" s="7" customFormat="1" x14ac:dyDescent="0.25">
      <c r="A19" s="4">
        <f t="shared" si="1"/>
        <v>-170</v>
      </c>
      <c r="B19" s="6">
        <f t="shared" si="0"/>
        <v>-0.85</v>
      </c>
    </row>
    <row r="20" spans="1:2" s="7" customFormat="1" x14ac:dyDescent="0.25">
      <c r="A20" s="4">
        <f t="shared" si="1"/>
        <v>-180</v>
      </c>
      <c r="B20" s="6">
        <f t="shared" si="0"/>
        <v>-0.9</v>
      </c>
    </row>
    <row r="21" spans="1:2" s="7" customFormat="1" x14ac:dyDescent="0.25">
      <c r="A21" s="4">
        <f t="shared" si="1"/>
        <v>-190</v>
      </c>
      <c r="B21" s="6">
        <f t="shared" si="0"/>
        <v>-0.95</v>
      </c>
    </row>
    <row r="22" spans="1:2" s="7" customFormat="1" x14ac:dyDescent="0.25">
      <c r="A22" s="4">
        <f t="shared" si="1"/>
        <v>-200</v>
      </c>
      <c r="B22" s="6">
        <f t="shared" si="0"/>
        <v>-1</v>
      </c>
    </row>
    <row r="23" spans="1:2" s="7" customFormat="1" x14ac:dyDescent="0.25">
      <c r="A23" s="4">
        <f t="shared" si="1"/>
        <v>-210</v>
      </c>
      <c r="B23" s="6">
        <f t="shared" si="0"/>
        <v>-1.05</v>
      </c>
    </row>
    <row r="24" spans="1:2" s="7" customFormat="1" x14ac:dyDescent="0.25">
      <c r="A24" s="4">
        <f t="shared" si="1"/>
        <v>-220</v>
      </c>
      <c r="B24" s="6">
        <f t="shared" si="0"/>
        <v>-1.1000000000000001</v>
      </c>
    </row>
    <row r="25" spans="1:2" s="7" customFormat="1" x14ac:dyDescent="0.25">
      <c r="A25" s="4">
        <f t="shared" si="1"/>
        <v>-230</v>
      </c>
      <c r="B25" s="6">
        <f t="shared" si="0"/>
        <v>-1.1499999999999999</v>
      </c>
    </row>
    <row r="26" spans="1:2" s="7" customFormat="1" x14ac:dyDescent="0.25">
      <c r="A26" s="4">
        <f t="shared" si="1"/>
        <v>-240</v>
      </c>
      <c r="B26" s="6">
        <f t="shared" si="0"/>
        <v>-1.2</v>
      </c>
    </row>
    <row r="27" spans="1:2" s="7" customFormat="1" x14ac:dyDescent="0.25">
      <c r="A27" s="4">
        <f t="shared" si="1"/>
        <v>-250</v>
      </c>
      <c r="B27" s="6">
        <f t="shared" si="0"/>
        <v>-1.25</v>
      </c>
    </row>
    <row r="28" spans="1:2" s="7" customFormat="1" x14ac:dyDescent="0.25">
      <c r="A28" s="4">
        <f t="shared" si="1"/>
        <v>-260</v>
      </c>
      <c r="B28" s="6">
        <f t="shared" si="0"/>
        <v>-1.3</v>
      </c>
    </row>
    <row r="29" spans="1:2" s="7" customFormat="1" x14ac:dyDescent="0.25">
      <c r="A29" s="4">
        <f t="shared" si="1"/>
        <v>-270</v>
      </c>
      <c r="B29" s="6">
        <f t="shared" si="0"/>
        <v>-1.35</v>
      </c>
    </row>
    <row r="30" spans="1:2" s="7" customFormat="1" x14ac:dyDescent="0.25">
      <c r="A30" s="4">
        <f t="shared" si="1"/>
        <v>-280</v>
      </c>
      <c r="B30" s="6">
        <f t="shared" si="0"/>
        <v>-1.4</v>
      </c>
    </row>
    <row r="31" spans="1:2" s="7" customFormat="1" x14ac:dyDescent="0.25">
      <c r="A31" s="4">
        <f t="shared" si="1"/>
        <v>-290</v>
      </c>
      <c r="B31" s="6">
        <f t="shared" si="0"/>
        <v>-1.45</v>
      </c>
    </row>
    <row r="32" spans="1:2" s="7" customFormat="1" x14ac:dyDescent="0.25">
      <c r="A32" s="4">
        <f t="shared" si="1"/>
        <v>-300</v>
      </c>
      <c r="B32" s="6">
        <f t="shared" si="0"/>
        <v>-1.5</v>
      </c>
    </row>
    <row r="33" spans="1:2" s="7" customFormat="1" x14ac:dyDescent="0.25">
      <c r="A33" s="4">
        <f t="shared" si="1"/>
        <v>-310</v>
      </c>
      <c r="B33" s="6">
        <f t="shared" si="0"/>
        <v>-1.55</v>
      </c>
    </row>
    <row r="34" spans="1:2" s="7" customFormat="1" x14ac:dyDescent="0.25">
      <c r="A34" s="4">
        <f t="shared" si="1"/>
        <v>-320</v>
      </c>
      <c r="B34" s="6">
        <f t="shared" si="0"/>
        <v>-1.6</v>
      </c>
    </row>
    <row r="35" spans="1:2" s="7" customFormat="1" x14ac:dyDescent="0.25">
      <c r="A35" s="4">
        <f t="shared" si="1"/>
        <v>-330</v>
      </c>
      <c r="B35" s="6">
        <f t="shared" si="0"/>
        <v>-1.65</v>
      </c>
    </row>
    <row r="36" spans="1:2" s="7" customFormat="1" x14ac:dyDescent="0.25">
      <c r="A36" s="4">
        <f t="shared" si="1"/>
        <v>-340</v>
      </c>
      <c r="B36" s="6">
        <f t="shared" si="0"/>
        <v>-1.7</v>
      </c>
    </row>
    <row r="37" spans="1:2" s="7" customFormat="1" x14ac:dyDescent="0.25">
      <c r="A37" s="4">
        <f t="shared" si="1"/>
        <v>-350</v>
      </c>
      <c r="B37" s="6">
        <f t="shared" si="0"/>
        <v>-1.75</v>
      </c>
    </row>
    <row r="38" spans="1:2" s="7" customFormat="1" x14ac:dyDescent="0.25">
      <c r="A38" s="4">
        <f t="shared" si="1"/>
        <v>-360</v>
      </c>
      <c r="B38" s="6">
        <f t="shared" si="0"/>
        <v>-1.8</v>
      </c>
    </row>
    <row r="39" spans="1:2" s="7" customFormat="1" x14ac:dyDescent="0.25">
      <c r="A39" s="4">
        <f t="shared" si="1"/>
        <v>-370</v>
      </c>
      <c r="B39" s="6">
        <f t="shared" si="0"/>
        <v>-1.85</v>
      </c>
    </row>
    <row r="40" spans="1:2" s="7" customFormat="1" x14ac:dyDescent="0.25">
      <c r="A40" s="4">
        <f t="shared" si="1"/>
        <v>-380</v>
      </c>
      <c r="B40" s="6">
        <f t="shared" si="0"/>
        <v>-1.9</v>
      </c>
    </row>
    <row r="41" spans="1:2" s="7" customFormat="1" x14ac:dyDescent="0.25">
      <c r="A41" s="4">
        <f t="shared" si="1"/>
        <v>-390</v>
      </c>
      <c r="B41" s="6">
        <f t="shared" si="0"/>
        <v>-1.95</v>
      </c>
    </row>
    <row r="42" spans="1:2" s="7" customFormat="1" x14ac:dyDescent="0.25">
      <c r="A42" s="4">
        <f t="shared" si="1"/>
        <v>-400</v>
      </c>
      <c r="B42" s="6">
        <f t="shared" si="0"/>
        <v>-2</v>
      </c>
    </row>
    <row r="43" spans="1:2" s="7" customFormat="1" x14ac:dyDescent="0.25">
      <c r="A43" s="4">
        <f t="shared" si="1"/>
        <v>-410</v>
      </c>
      <c r="B43" s="6">
        <f t="shared" si="0"/>
        <v>-2.0499999999999998</v>
      </c>
    </row>
    <row r="44" spans="1:2" s="7" customFormat="1" x14ac:dyDescent="0.25">
      <c r="A44" s="4">
        <f t="shared" si="1"/>
        <v>-420</v>
      </c>
      <c r="B44" s="6">
        <f t="shared" si="0"/>
        <v>-2.1</v>
      </c>
    </row>
    <row r="45" spans="1:2" s="7" customFormat="1" x14ac:dyDescent="0.25">
      <c r="A45" s="4">
        <f t="shared" si="1"/>
        <v>-430</v>
      </c>
      <c r="B45" s="6">
        <f t="shared" si="0"/>
        <v>-2.15</v>
      </c>
    </row>
    <row r="46" spans="1:2" s="7" customFormat="1" x14ac:dyDescent="0.25">
      <c r="A46" s="4">
        <f t="shared" si="1"/>
        <v>-440</v>
      </c>
      <c r="B46" s="6">
        <f t="shared" si="0"/>
        <v>-2.2000000000000002</v>
      </c>
    </row>
    <row r="47" spans="1:2" s="7" customFormat="1" x14ac:dyDescent="0.25">
      <c r="A47" s="4">
        <f t="shared" si="1"/>
        <v>-450</v>
      </c>
      <c r="B47" s="6">
        <f t="shared" si="0"/>
        <v>-2.25</v>
      </c>
    </row>
    <row r="48" spans="1:2" s="7" customFormat="1" x14ac:dyDescent="0.25">
      <c r="A48" s="4">
        <f t="shared" si="1"/>
        <v>-460</v>
      </c>
      <c r="B48" s="6">
        <f t="shared" si="0"/>
        <v>-2.2999999999999998</v>
      </c>
    </row>
    <row r="49" spans="1:2" s="7" customFormat="1" x14ac:dyDescent="0.25">
      <c r="A49" s="4">
        <f t="shared" si="1"/>
        <v>-470</v>
      </c>
      <c r="B49" s="6">
        <f t="shared" si="0"/>
        <v>-2.35</v>
      </c>
    </row>
    <row r="50" spans="1:2" s="7" customFormat="1" x14ac:dyDescent="0.25">
      <c r="A50" s="4">
        <f t="shared" si="1"/>
        <v>-480</v>
      </c>
      <c r="B50" s="6">
        <f t="shared" si="0"/>
        <v>-2.4</v>
      </c>
    </row>
    <row r="51" spans="1:2" s="7" customFormat="1" x14ac:dyDescent="0.25">
      <c r="A51" s="4">
        <f t="shared" si="1"/>
        <v>-490</v>
      </c>
      <c r="B51" s="6">
        <f t="shared" si="0"/>
        <v>-2.4500000000000002</v>
      </c>
    </row>
    <row r="52" spans="1:2" s="7" customFormat="1" x14ac:dyDescent="0.25">
      <c r="A52" s="4">
        <f t="shared" si="1"/>
        <v>-500</v>
      </c>
      <c r="B52" s="6">
        <f t="shared" si="0"/>
        <v>-2.5</v>
      </c>
    </row>
    <row r="53" spans="1:2" s="7" customFormat="1" x14ac:dyDescent="0.25">
      <c r="A53" s="4">
        <f t="shared" si="1"/>
        <v>-510</v>
      </c>
      <c r="B53" s="6">
        <f t="shared" si="0"/>
        <v>-2.5499999999999998</v>
      </c>
    </row>
    <row r="54" spans="1:2" s="7" customFormat="1" x14ac:dyDescent="0.25">
      <c r="A54" s="4">
        <f t="shared" si="1"/>
        <v>-520</v>
      </c>
      <c r="B54" s="6">
        <f t="shared" si="0"/>
        <v>-2.6</v>
      </c>
    </row>
    <row r="55" spans="1:2" s="7" customFormat="1" x14ac:dyDescent="0.25">
      <c r="A55" s="4">
        <f t="shared" si="1"/>
        <v>-530</v>
      </c>
      <c r="B55" s="6">
        <f t="shared" si="0"/>
        <v>-2.65</v>
      </c>
    </row>
    <row r="56" spans="1:2" s="7" customFormat="1" x14ac:dyDescent="0.25">
      <c r="A56" s="4">
        <f t="shared" si="1"/>
        <v>-540</v>
      </c>
      <c r="B56" s="6">
        <f t="shared" si="0"/>
        <v>-2.7</v>
      </c>
    </row>
    <row r="57" spans="1:2" s="7" customFormat="1" x14ac:dyDescent="0.25">
      <c r="A57" s="4">
        <f t="shared" si="1"/>
        <v>-550</v>
      </c>
      <c r="B57" s="6">
        <f t="shared" si="0"/>
        <v>-2.75</v>
      </c>
    </row>
    <row r="58" spans="1:2" s="7" customFormat="1" x14ac:dyDescent="0.25">
      <c r="A58" s="4">
        <f t="shared" si="1"/>
        <v>-560</v>
      </c>
      <c r="B58" s="6">
        <f t="shared" si="0"/>
        <v>-2.8</v>
      </c>
    </row>
    <row r="59" spans="1:2" s="7" customFormat="1" x14ac:dyDescent="0.25">
      <c r="A59" s="4">
        <f t="shared" si="1"/>
        <v>-570</v>
      </c>
      <c r="B59" s="6">
        <f t="shared" si="0"/>
        <v>-2.85</v>
      </c>
    </row>
    <row r="60" spans="1:2" s="7" customFormat="1" x14ac:dyDescent="0.25">
      <c r="A60" s="4">
        <f t="shared" si="1"/>
        <v>-580</v>
      </c>
      <c r="B60" s="6">
        <f t="shared" si="0"/>
        <v>-2.9</v>
      </c>
    </row>
    <row r="61" spans="1:2" s="7" customFormat="1" x14ac:dyDescent="0.25">
      <c r="A61" s="4">
        <f t="shared" si="1"/>
        <v>-590</v>
      </c>
      <c r="B61" s="6">
        <f t="shared" si="0"/>
        <v>-2.95</v>
      </c>
    </row>
    <row r="62" spans="1:2" s="7" customFormat="1" x14ac:dyDescent="0.25">
      <c r="A62" s="4">
        <f t="shared" si="1"/>
        <v>-600</v>
      </c>
      <c r="B62" s="6">
        <f t="shared" si="0"/>
        <v>-3</v>
      </c>
    </row>
    <row r="63" spans="1:2" s="7" customFormat="1" x14ac:dyDescent="0.25">
      <c r="A63" s="4">
        <f>A62+10</f>
        <v>-590</v>
      </c>
      <c r="B63" s="6">
        <f t="shared" si="0"/>
        <v>-2.95</v>
      </c>
    </row>
    <row r="64" spans="1:2" s="7" customFormat="1" x14ac:dyDescent="0.25">
      <c r="A64" s="4">
        <f t="shared" ref="A64:A127" si="2">A63+10</f>
        <v>-580</v>
      </c>
      <c r="B64" s="6">
        <f t="shared" si="0"/>
        <v>-2.9</v>
      </c>
    </row>
    <row r="65" spans="1:2" s="7" customFormat="1" x14ac:dyDescent="0.25">
      <c r="A65" s="4">
        <f t="shared" si="2"/>
        <v>-570</v>
      </c>
      <c r="B65" s="6">
        <f t="shared" si="0"/>
        <v>-2.85</v>
      </c>
    </row>
    <row r="66" spans="1:2" s="7" customFormat="1" x14ac:dyDescent="0.25">
      <c r="A66" s="4">
        <f t="shared" si="2"/>
        <v>-560</v>
      </c>
      <c r="B66" s="6">
        <f t="shared" si="0"/>
        <v>-2.8</v>
      </c>
    </row>
    <row r="67" spans="1:2" s="7" customFormat="1" x14ac:dyDescent="0.25">
      <c r="A67" s="4">
        <f t="shared" si="2"/>
        <v>-550</v>
      </c>
      <c r="B67" s="6">
        <f t="shared" ref="B67:B130" si="3">$B$1*A67/10^6</f>
        <v>-2.75</v>
      </c>
    </row>
    <row r="68" spans="1:2" s="7" customFormat="1" x14ac:dyDescent="0.25">
      <c r="A68" s="4">
        <f t="shared" si="2"/>
        <v>-540</v>
      </c>
      <c r="B68" s="6">
        <f t="shared" si="3"/>
        <v>-2.7</v>
      </c>
    </row>
    <row r="69" spans="1:2" s="7" customFormat="1" x14ac:dyDescent="0.25">
      <c r="A69" s="4">
        <f t="shared" si="2"/>
        <v>-530</v>
      </c>
      <c r="B69" s="6">
        <f t="shared" si="3"/>
        <v>-2.65</v>
      </c>
    </row>
    <row r="70" spans="1:2" s="7" customFormat="1" x14ac:dyDescent="0.25">
      <c r="A70" s="4">
        <f t="shared" si="2"/>
        <v>-520</v>
      </c>
      <c r="B70" s="6">
        <f t="shared" si="3"/>
        <v>-2.6</v>
      </c>
    </row>
    <row r="71" spans="1:2" s="7" customFormat="1" x14ac:dyDescent="0.25">
      <c r="A71" s="4">
        <f t="shared" si="2"/>
        <v>-510</v>
      </c>
      <c r="B71" s="6">
        <f t="shared" si="3"/>
        <v>-2.5499999999999998</v>
      </c>
    </row>
    <row r="72" spans="1:2" s="7" customFormat="1" x14ac:dyDescent="0.25">
      <c r="A72" s="4">
        <f t="shared" si="2"/>
        <v>-500</v>
      </c>
      <c r="B72" s="6">
        <f t="shared" si="3"/>
        <v>-2.5</v>
      </c>
    </row>
    <row r="73" spans="1:2" s="7" customFormat="1" x14ac:dyDescent="0.25">
      <c r="A73" s="4">
        <f t="shared" si="2"/>
        <v>-490</v>
      </c>
      <c r="B73" s="6">
        <f t="shared" si="3"/>
        <v>-2.4500000000000002</v>
      </c>
    </row>
    <row r="74" spans="1:2" s="7" customFormat="1" x14ac:dyDescent="0.25">
      <c r="A74" s="4">
        <f t="shared" si="2"/>
        <v>-480</v>
      </c>
      <c r="B74" s="6">
        <f t="shared" si="3"/>
        <v>-2.4</v>
      </c>
    </row>
    <row r="75" spans="1:2" s="7" customFormat="1" x14ac:dyDescent="0.25">
      <c r="A75" s="4">
        <f t="shared" si="2"/>
        <v>-470</v>
      </c>
      <c r="B75" s="6">
        <f t="shared" si="3"/>
        <v>-2.35</v>
      </c>
    </row>
    <row r="76" spans="1:2" s="7" customFormat="1" x14ac:dyDescent="0.25">
      <c r="A76" s="4">
        <f t="shared" si="2"/>
        <v>-460</v>
      </c>
      <c r="B76" s="6">
        <f t="shared" si="3"/>
        <v>-2.2999999999999998</v>
      </c>
    </row>
    <row r="77" spans="1:2" s="7" customFormat="1" x14ac:dyDescent="0.25">
      <c r="A77" s="4">
        <f t="shared" si="2"/>
        <v>-450</v>
      </c>
      <c r="B77" s="6">
        <f t="shared" si="3"/>
        <v>-2.25</v>
      </c>
    </row>
    <row r="78" spans="1:2" s="7" customFormat="1" x14ac:dyDescent="0.25">
      <c r="A78" s="4">
        <f t="shared" si="2"/>
        <v>-440</v>
      </c>
      <c r="B78" s="6">
        <f t="shared" si="3"/>
        <v>-2.2000000000000002</v>
      </c>
    </row>
    <row r="79" spans="1:2" s="7" customFormat="1" x14ac:dyDescent="0.25">
      <c r="A79" s="4">
        <f t="shared" si="2"/>
        <v>-430</v>
      </c>
      <c r="B79" s="6">
        <f t="shared" si="3"/>
        <v>-2.15</v>
      </c>
    </row>
    <row r="80" spans="1:2" s="7" customFormat="1" x14ac:dyDescent="0.25">
      <c r="A80" s="4">
        <f t="shared" si="2"/>
        <v>-420</v>
      </c>
      <c r="B80" s="6">
        <f t="shared" si="3"/>
        <v>-2.1</v>
      </c>
    </row>
    <row r="81" spans="1:2" s="7" customFormat="1" x14ac:dyDescent="0.25">
      <c r="A81" s="4">
        <f t="shared" si="2"/>
        <v>-410</v>
      </c>
      <c r="B81" s="6">
        <f t="shared" si="3"/>
        <v>-2.0499999999999998</v>
      </c>
    </row>
    <row r="82" spans="1:2" s="7" customFormat="1" x14ac:dyDescent="0.25">
      <c r="A82" s="4">
        <f t="shared" si="2"/>
        <v>-400</v>
      </c>
      <c r="B82" s="6">
        <f t="shared" si="3"/>
        <v>-2</v>
      </c>
    </row>
    <row r="83" spans="1:2" s="7" customFormat="1" x14ac:dyDescent="0.25">
      <c r="A83" s="4">
        <f t="shared" si="2"/>
        <v>-390</v>
      </c>
      <c r="B83" s="6">
        <f t="shared" si="3"/>
        <v>-1.95</v>
      </c>
    </row>
    <row r="84" spans="1:2" s="7" customFormat="1" x14ac:dyDescent="0.25">
      <c r="A84" s="4">
        <f t="shared" si="2"/>
        <v>-380</v>
      </c>
      <c r="B84" s="6">
        <f t="shared" si="3"/>
        <v>-1.9</v>
      </c>
    </row>
    <row r="85" spans="1:2" s="7" customFormat="1" x14ac:dyDescent="0.25">
      <c r="A85" s="4">
        <f t="shared" si="2"/>
        <v>-370</v>
      </c>
      <c r="B85" s="6">
        <f t="shared" si="3"/>
        <v>-1.85</v>
      </c>
    </row>
    <row r="86" spans="1:2" s="7" customFormat="1" x14ac:dyDescent="0.25">
      <c r="A86" s="4">
        <f t="shared" si="2"/>
        <v>-360</v>
      </c>
      <c r="B86" s="6">
        <f t="shared" si="3"/>
        <v>-1.8</v>
      </c>
    </row>
    <row r="87" spans="1:2" s="7" customFormat="1" x14ac:dyDescent="0.25">
      <c r="A87" s="4">
        <f t="shared" si="2"/>
        <v>-350</v>
      </c>
      <c r="B87" s="6">
        <f t="shared" si="3"/>
        <v>-1.75</v>
      </c>
    </row>
    <row r="88" spans="1:2" s="7" customFormat="1" x14ac:dyDescent="0.25">
      <c r="A88" s="4">
        <f t="shared" si="2"/>
        <v>-340</v>
      </c>
      <c r="B88" s="6">
        <f t="shared" si="3"/>
        <v>-1.7</v>
      </c>
    </row>
    <row r="89" spans="1:2" s="7" customFormat="1" x14ac:dyDescent="0.25">
      <c r="A89" s="4">
        <f t="shared" si="2"/>
        <v>-330</v>
      </c>
      <c r="B89" s="6">
        <f t="shared" si="3"/>
        <v>-1.65</v>
      </c>
    </row>
    <row r="90" spans="1:2" s="7" customFormat="1" x14ac:dyDescent="0.25">
      <c r="A90" s="4">
        <f t="shared" si="2"/>
        <v>-320</v>
      </c>
      <c r="B90" s="6">
        <f t="shared" si="3"/>
        <v>-1.6</v>
      </c>
    </row>
    <row r="91" spans="1:2" s="7" customFormat="1" x14ac:dyDescent="0.25">
      <c r="A91" s="4">
        <f t="shared" si="2"/>
        <v>-310</v>
      </c>
      <c r="B91" s="6">
        <f t="shared" si="3"/>
        <v>-1.55</v>
      </c>
    </row>
    <row r="92" spans="1:2" s="7" customFormat="1" x14ac:dyDescent="0.25">
      <c r="A92" s="4">
        <f t="shared" si="2"/>
        <v>-300</v>
      </c>
      <c r="B92" s="6">
        <f t="shared" si="3"/>
        <v>-1.5</v>
      </c>
    </row>
    <row r="93" spans="1:2" s="7" customFormat="1" x14ac:dyDescent="0.25">
      <c r="A93" s="4">
        <f t="shared" si="2"/>
        <v>-290</v>
      </c>
      <c r="B93" s="6">
        <f t="shared" si="3"/>
        <v>-1.45</v>
      </c>
    </row>
    <row r="94" spans="1:2" s="7" customFormat="1" x14ac:dyDescent="0.25">
      <c r="A94" s="4">
        <f t="shared" si="2"/>
        <v>-280</v>
      </c>
      <c r="B94" s="6">
        <f t="shared" si="3"/>
        <v>-1.4</v>
      </c>
    </row>
    <row r="95" spans="1:2" s="7" customFormat="1" x14ac:dyDescent="0.25">
      <c r="A95" s="4">
        <f t="shared" si="2"/>
        <v>-270</v>
      </c>
      <c r="B95" s="6">
        <f t="shared" si="3"/>
        <v>-1.35</v>
      </c>
    </row>
    <row r="96" spans="1:2" s="7" customFormat="1" x14ac:dyDescent="0.25">
      <c r="A96" s="4">
        <f t="shared" si="2"/>
        <v>-260</v>
      </c>
      <c r="B96" s="6">
        <f t="shared" si="3"/>
        <v>-1.3</v>
      </c>
    </row>
    <row r="97" spans="1:2" s="7" customFormat="1" x14ac:dyDescent="0.25">
      <c r="A97" s="4">
        <f t="shared" si="2"/>
        <v>-250</v>
      </c>
      <c r="B97" s="6">
        <f t="shared" si="3"/>
        <v>-1.25</v>
      </c>
    </row>
    <row r="98" spans="1:2" s="7" customFormat="1" x14ac:dyDescent="0.25">
      <c r="A98" s="4">
        <f t="shared" si="2"/>
        <v>-240</v>
      </c>
      <c r="B98" s="6">
        <f t="shared" si="3"/>
        <v>-1.2</v>
      </c>
    </row>
    <row r="99" spans="1:2" s="7" customFormat="1" x14ac:dyDescent="0.25">
      <c r="A99" s="4">
        <f t="shared" si="2"/>
        <v>-230</v>
      </c>
      <c r="B99" s="6">
        <f t="shared" si="3"/>
        <v>-1.1499999999999999</v>
      </c>
    </row>
    <row r="100" spans="1:2" s="7" customFormat="1" x14ac:dyDescent="0.25">
      <c r="A100" s="4">
        <f t="shared" si="2"/>
        <v>-220</v>
      </c>
      <c r="B100" s="6">
        <f t="shared" si="3"/>
        <v>-1.1000000000000001</v>
      </c>
    </row>
    <row r="101" spans="1:2" s="7" customFormat="1" x14ac:dyDescent="0.25">
      <c r="A101" s="4">
        <f t="shared" si="2"/>
        <v>-210</v>
      </c>
      <c r="B101" s="6">
        <f t="shared" si="3"/>
        <v>-1.05</v>
      </c>
    </row>
    <row r="102" spans="1:2" s="7" customFormat="1" x14ac:dyDescent="0.25">
      <c r="A102" s="4">
        <f t="shared" si="2"/>
        <v>-200</v>
      </c>
      <c r="B102" s="6">
        <f t="shared" si="3"/>
        <v>-1</v>
      </c>
    </row>
    <row r="103" spans="1:2" s="7" customFormat="1" x14ac:dyDescent="0.25">
      <c r="A103" s="4">
        <f t="shared" si="2"/>
        <v>-190</v>
      </c>
      <c r="B103" s="6">
        <f t="shared" si="3"/>
        <v>-0.95</v>
      </c>
    </row>
    <row r="104" spans="1:2" s="7" customFormat="1" x14ac:dyDescent="0.25">
      <c r="A104" s="4">
        <f t="shared" si="2"/>
        <v>-180</v>
      </c>
      <c r="B104" s="6">
        <f t="shared" si="3"/>
        <v>-0.9</v>
      </c>
    </row>
    <row r="105" spans="1:2" customFormat="1" x14ac:dyDescent="0.25">
      <c r="A105" s="4">
        <f t="shared" si="2"/>
        <v>-170</v>
      </c>
      <c r="B105" s="5">
        <f t="shared" si="3"/>
        <v>-0.85</v>
      </c>
    </row>
    <row r="106" spans="1:2" customFormat="1" x14ac:dyDescent="0.25">
      <c r="A106" s="4">
        <f t="shared" si="2"/>
        <v>-160</v>
      </c>
      <c r="B106" s="5">
        <f t="shared" si="3"/>
        <v>-0.8</v>
      </c>
    </row>
    <row r="107" spans="1:2" customFormat="1" x14ac:dyDescent="0.25">
      <c r="A107" s="4">
        <f t="shared" si="2"/>
        <v>-150</v>
      </c>
      <c r="B107" s="5">
        <f t="shared" si="3"/>
        <v>-0.75</v>
      </c>
    </row>
    <row r="108" spans="1:2" customFormat="1" x14ac:dyDescent="0.25">
      <c r="A108" s="4">
        <f t="shared" si="2"/>
        <v>-140</v>
      </c>
      <c r="B108" s="5">
        <f t="shared" si="3"/>
        <v>-0.7</v>
      </c>
    </row>
    <row r="109" spans="1:2" customFormat="1" x14ac:dyDescent="0.25">
      <c r="A109" s="4">
        <f t="shared" si="2"/>
        <v>-130</v>
      </c>
      <c r="B109" s="5">
        <f t="shared" si="3"/>
        <v>-0.65</v>
      </c>
    </row>
    <row r="110" spans="1:2" customFormat="1" x14ac:dyDescent="0.25">
      <c r="A110" s="4">
        <f t="shared" si="2"/>
        <v>-120</v>
      </c>
      <c r="B110" s="5">
        <f t="shared" si="3"/>
        <v>-0.6</v>
      </c>
    </row>
    <row r="111" spans="1:2" customFormat="1" x14ac:dyDescent="0.25">
      <c r="A111" s="4">
        <f t="shared" si="2"/>
        <v>-110</v>
      </c>
      <c r="B111" s="5">
        <f t="shared" si="3"/>
        <v>-0.55000000000000004</v>
      </c>
    </row>
    <row r="112" spans="1:2" customFormat="1" x14ac:dyDescent="0.25">
      <c r="A112" s="4">
        <f t="shared" si="2"/>
        <v>-100</v>
      </c>
      <c r="B112" s="5">
        <f t="shared" si="3"/>
        <v>-0.5</v>
      </c>
    </row>
    <row r="113" spans="1:3" x14ac:dyDescent="0.25">
      <c r="A113" s="4">
        <f t="shared" si="2"/>
        <v>-90</v>
      </c>
      <c r="B113" s="6">
        <f t="shared" si="3"/>
        <v>-0.45</v>
      </c>
    </row>
    <row r="114" spans="1:3" x14ac:dyDescent="0.25">
      <c r="A114" s="4">
        <f t="shared" si="2"/>
        <v>-80</v>
      </c>
      <c r="B114" s="6">
        <f t="shared" si="3"/>
        <v>-0.4</v>
      </c>
    </row>
    <row r="115" spans="1:3" x14ac:dyDescent="0.25">
      <c r="A115" s="4">
        <f t="shared" si="2"/>
        <v>-70</v>
      </c>
      <c r="B115" s="6">
        <f t="shared" si="3"/>
        <v>-0.35</v>
      </c>
    </row>
    <row r="116" spans="1:3" x14ac:dyDescent="0.25">
      <c r="A116" s="4">
        <f t="shared" si="2"/>
        <v>-60</v>
      </c>
      <c r="B116" s="6">
        <f t="shared" si="3"/>
        <v>-0.3</v>
      </c>
    </row>
    <row r="117" spans="1:3" x14ac:dyDescent="0.25">
      <c r="A117" s="4">
        <f t="shared" si="2"/>
        <v>-50</v>
      </c>
      <c r="B117" s="6">
        <f t="shared" si="3"/>
        <v>-0.25</v>
      </c>
    </row>
    <row r="118" spans="1:3" x14ac:dyDescent="0.25">
      <c r="A118" s="4">
        <f t="shared" si="2"/>
        <v>-40</v>
      </c>
      <c r="B118" s="6">
        <f t="shared" si="3"/>
        <v>-0.2</v>
      </c>
    </row>
    <row r="119" spans="1:3" x14ac:dyDescent="0.25">
      <c r="A119" s="4">
        <f t="shared" si="2"/>
        <v>-30</v>
      </c>
      <c r="B119" s="6">
        <f t="shared" si="3"/>
        <v>-0.15</v>
      </c>
    </row>
    <row r="120" spans="1:3" x14ac:dyDescent="0.25">
      <c r="A120" s="4">
        <f t="shared" si="2"/>
        <v>-20</v>
      </c>
      <c r="B120" s="6">
        <f t="shared" si="3"/>
        <v>-0.1</v>
      </c>
    </row>
    <row r="121" spans="1:3" x14ac:dyDescent="0.25">
      <c r="A121" s="4">
        <f t="shared" si="2"/>
        <v>-10</v>
      </c>
      <c r="B121" s="6">
        <f t="shared" si="3"/>
        <v>-0.05</v>
      </c>
    </row>
    <row r="122" spans="1:3" ht="15.75" thickBot="1" x14ac:dyDescent="0.3">
      <c r="A122" s="8">
        <f t="shared" si="2"/>
        <v>0</v>
      </c>
      <c r="B122" s="9">
        <f t="shared" si="3"/>
        <v>0</v>
      </c>
    </row>
    <row r="123" spans="1:3" ht="15.75" thickTop="1" x14ac:dyDescent="0.25">
      <c r="A123" s="4">
        <f t="shared" si="2"/>
        <v>10</v>
      </c>
      <c r="B123" s="6">
        <f t="shared" si="3"/>
        <v>0.05</v>
      </c>
      <c r="C123" s="7" t="s">
        <v>5</v>
      </c>
    </row>
    <row r="124" spans="1:3" x14ac:dyDescent="0.25">
      <c r="A124" s="4">
        <f t="shared" si="2"/>
        <v>20</v>
      </c>
      <c r="B124" s="6">
        <f t="shared" si="3"/>
        <v>0.1</v>
      </c>
    </row>
    <row r="125" spans="1:3" x14ac:dyDescent="0.25">
      <c r="A125" s="4">
        <f t="shared" si="2"/>
        <v>30</v>
      </c>
      <c r="B125" s="6">
        <f t="shared" si="3"/>
        <v>0.15</v>
      </c>
    </row>
    <row r="126" spans="1:3" x14ac:dyDescent="0.25">
      <c r="A126" s="4">
        <f t="shared" si="2"/>
        <v>40</v>
      </c>
      <c r="B126" s="6">
        <f t="shared" si="3"/>
        <v>0.2</v>
      </c>
    </row>
    <row r="127" spans="1:3" x14ac:dyDescent="0.25">
      <c r="A127" s="4">
        <f t="shared" si="2"/>
        <v>50</v>
      </c>
      <c r="B127" s="6">
        <f t="shared" si="3"/>
        <v>0.25</v>
      </c>
    </row>
    <row r="128" spans="1:3" x14ac:dyDescent="0.25">
      <c r="A128" s="4">
        <f t="shared" ref="A128:A142" si="4">A127+10</f>
        <v>60</v>
      </c>
      <c r="B128" s="6">
        <f t="shared" si="3"/>
        <v>0.3</v>
      </c>
    </row>
    <row r="129" spans="1:6" x14ac:dyDescent="0.25">
      <c r="A129" s="4">
        <f t="shared" si="4"/>
        <v>70</v>
      </c>
      <c r="B129" s="6">
        <f t="shared" si="3"/>
        <v>0.35</v>
      </c>
    </row>
    <row r="130" spans="1:6" x14ac:dyDescent="0.25">
      <c r="A130" s="4">
        <f t="shared" si="4"/>
        <v>80</v>
      </c>
      <c r="B130" s="6">
        <f t="shared" si="3"/>
        <v>0.4</v>
      </c>
    </row>
    <row r="131" spans="1:6" x14ac:dyDescent="0.25">
      <c r="A131" s="4">
        <f t="shared" si="4"/>
        <v>90</v>
      </c>
      <c r="B131" s="6">
        <f t="shared" ref="B131:B132" si="5">$B$1*A131/10^6</f>
        <v>0.45</v>
      </c>
    </row>
    <row r="132" spans="1:6" ht="15.75" thickBot="1" x14ac:dyDescent="0.3">
      <c r="A132" s="8">
        <f t="shared" si="4"/>
        <v>100</v>
      </c>
      <c r="B132" s="9">
        <f t="shared" si="5"/>
        <v>0.5</v>
      </c>
      <c r="D132" s="6"/>
    </row>
    <row r="133" spans="1:6" ht="15.75" thickTop="1" x14ac:dyDescent="0.25">
      <c r="A133" s="4">
        <f t="shared" si="4"/>
        <v>110</v>
      </c>
      <c r="B133" s="5">
        <f>$F$1*($H$1/A133)^$D$1</f>
        <v>0.46329312567793479</v>
      </c>
      <c r="C133" s="7" t="s">
        <v>6</v>
      </c>
      <c r="D133" s="6"/>
    </row>
    <row r="134" spans="1:6" x14ac:dyDescent="0.25">
      <c r="A134" s="4">
        <f t="shared" si="4"/>
        <v>120</v>
      </c>
      <c r="B134" s="6">
        <f t="shared" ref="B134:B142" si="6">$F$1*($H$1/A134)^$D$1</f>
        <v>0.4321405372236034</v>
      </c>
      <c r="D134" s="6"/>
    </row>
    <row r="135" spans="1:6" x14ac:dyDescent="0.25">
      <c r="A135" s="4">
        <f t="shared" si="4"/>
        <v>130</v>
      </c>
      <c r="B135" s="6">
        <f t="shared" si="6"/>
        <v>0.40533613540837826</v>
      </c>
      <c r="D135" s="6"/>
    </row>
    <row r="136" spans="1:6" x14ac:dyDescent="0.25">
      <c r="A136" s="4">
        <f t="shared" si="4"/>
        <v>140</v>
      </c>
      <c r="B136" s="6">
        <f t="shared" si="6"/>
        <v>0.38200370561609603</v>
      </c>
      <c r="D136" s="6"/>
    </row>
    <row r="137" spans="1:6" x14ac:dyDescent="0.25">
      <c r="A137" s="4">
        <f t="shared" si="4"/>
        <v>150</v>
      </c>
      <c r="B137" s="6">
        <f t="shared" si="6"/>
        <v>0.36149059039923281</v>
      </c>
      <c r="D137" s="6"/>
    </row>
    <row r="138" spans="1:6" x14ac:dyDescent="0.25">
      <c r="A138" s="4">
        <f t="shared" si="4"/>
        <v>160</v>
      </c>
      <c r="B138" s="6">
        <f t="shared" si="6"/>
        <v>0.3433001697831618</v>
      </c>
      <c r="D138" s="6"/>
    </row>
    <row r="139" spans="1:6" x14ac:dyDescent="0.25">
      <c r="A139" s="4">
        <f t="shared" si="4"/>
        <v>170</v>
      </c>
      <c r="B139" s="6">
        <f t="shared" si="6"/>
        <v>0.32704752527605258</v>
      </c>
      <c r="D139" s="6"/>
    </row>
    <row r="140" spans="1:6" x14ac:dyDescent="0.25">
      <c r="A140" s="4">
        <f t="shared" si="4"/>
        <v>180</v>
      </c>
      <c r="B140" s="6">
        <f t="shared" si="6"/>
        <v>0.31242947587280412</v>
      </c>
      <c r="D140" s="6"/>
    </row>
    <row r="141" spans="1:6" x14ac:dyDescent="0.25">
      <c r="A141" s="4">
        <f t="shared" si="4"/>
        <v>190</v>
      </c>
      <c r="B141" s="6">
        <f t="shared" si="6"/>
        <v>0.29920381284477315</v>
      </c>
      <c r="D141" s="6"/>
    </row>
    <row r="142" spans="1:6" ht="15.75" thickBot="1" x14ac:dyDescent="0.3">
      <c r="A142" s="10">
        <f t="shared" si="4"/>
        <v>200</v>
      </c>
      <c r="B142" s="9">
        <f t="shared" si="6"/>
        <v>0.28717458874925877</v>
      </c>
      <c r="D142" s="6"/>
    </row>
    <row r="143" spans="1:6" ht="15.75" thickTop="1" x14ac:dyDescent="0.25">
      <c r="A143" s="11">
        <f>A142-10</f>
        <v>190</v>
      </c>
      <c r="B143" s="6">
        <f>-$F$143*A143/10^6</f>
        <v>0.27281585931179614</v>
      </c>
      <c r="C143" s="7" t="s">
        <v>7</v>
      </c>
      <c r="E143" s="7" t="s">
        <v>8</v>
      </c>
      <c r="F143" s="12">
        <f>-$F$1*($H$1^$D$1)/(A142^($D$1+1))*10^6</f>
        <v>-1435.8729437462955</v>
      </c>
    </row>
    <row r="144" spans="1:6" x14ac:dyDescent="0.25">
      <c r="A144" s="11">
        <f t="shared" ref="A144:A182" si="7">A143-10</f>
        <v>180</v>
      </c>
      <c r="B144" s="6">
        <f t="shared" ref="B144:B162" si="8">-$F$143*A144/10^6</f>
        <v>0.25845712987433317</v>
      </c>
    </row>
    <row r="145" spans="1:2" x14ac:dyDescent="0.25">
      <c r="A145" s="11">
        <f t="shared" si="7"/>
        <v>170</v>
      </c>
      <c r="B145" s="6">
        <f t="shared" si="8"/>
        <v>0.24409840043687023</v>
      </c>
    </row>
    <row r="146" spans="1:2" x14ac:dyDescent="0.25">
      <c r="A146" s="11">
        <f t="shared" si="7"/>
        <v>160</v>
      </c>
      <c r="B146" s="6">
        <f t="shared" si="8"/>
        <v>0.22973967099940729</v>
      </c>
    </row>
    <row r="147" spans="1:2" x14ac:dyDescent="0.25">
      <c r="A147" s="11">
        <f t="shared" si="7"/>
        <v>150</v>
      </c>
      <c r="B147" s="6">
        <f t="shared" si="8"/>
        <v>0.21538094156194432</v>
      </c>
    </row>
    <row r="148" spans="1:2" x14ac:dyDescent="0.25">
      <c r="A148" s="11">
        <f t="shared" si="7"/>
        <v>140</v>
      </c>
      <c r="B148" s="6">
        <f t="shared" si="8"/>
        <v>0.20102221212448135</v>
      </c>
    </row>
    <row r="149" spans="1:2" x14ac:dyDescent="0.25">
      <c r="A149" s="11">
        <f t="shared" si="7"/>
        <v>130</v>
      </c>
      <c r="B149" s="6">
        <f t="shared" si="8"/>
        <v>0.18666348268701841</v>
      </c>
    </row>
    <row r="150" spans="1:2" x14ac:dyDescent="0.25">
      <c r="A150" s="11">
        <f t="shared" si="7"/>
        <v>120</v>
      </c>
      <c r="B150" s="6">
        <f t="shared" si="8"/>
        <v>0.17230475324955544</v>
      </c>
    </row>
    <row r="151" spans="1:2" x14ac:dyDescent="0.25">
      <c r="A151" s="11">
        <f t="shared" si="7"/>
        <v>110</v>
      </c>
      <c r="B151" s="6">
        <f t="shared" si="8"/>
        <v>0.1579460238120925</v>
      </c>
    </row>
    <row r="152" spans="1:2" x14ac:dyDescent="0.25">
      <c r="A152" s="11">
        <f t="shared" si="7"/>
        <v>100</v>
      </c>
      <c r="B152" s="6">
        <f t="shared" si="8"/>
        <v>0.14358729437462955</v>
      </c>
    </row>
    <row r="153" spans="1:2" x14ac:dyDescent="0.25">
      <c r="A153" s="11">
        <f t="shared" si="7"/>
        <v>90</v>
      </c>
      <c r="B153" s="6">
        <f t="shared" si="8"/>
        <v>0.12922856493716658</v>
      </c>
    </row>
    <row r="154" spans="1:2" x14ac:dyDescent="0.25">
      <c r="A154" s="11">
        <f t="shared" si="7"/>
        <v>80</v>
      </c>
      <c r="B154" s="6">
        <f t="shared" si="8"/>
        <v>0.11486983549970364</v>
      </c>
    </row>
    <row r="155" spans="1:2" x14ac:dyDescent="0.25">
      <c r="A155" s="11">
        <f t="shared" si="7"/>
        <v>70</v>
      </c>
      <c r="B155" s="6">
        <f t="shared" si="8"/>
        <v>0.10051110606224067</v>
      </c>
    </row>
    <row r="156" spans="1:2" x14ac:dyDescent="0.25">
      <c r="A156" s="11">
        <f t="shared" si="7"/>
        <v>60</v>
      </c>
      <c r="B156" s="6">
        <f t="shared" si="8"/>
        <v>8.6152376624777718E-2</v>
      </c>
    </row>
    <row r="157" spans="1:2" x14ac:dyDescent="0.25">
      <c r="A157" s="11">
        <f t="shared" si="7"/>
        <v>50</v>
      </c>
      <c r="B157" s="6">
        <f t="shared" si="8"/>
        <v>7.1793647187314777E-2</v>
      </c>
    </row>
    <row r="158" spans="1:2" x14ac:dyDescent="0.25">
      <c r="A158" s="11">
        <f t="shared" si="7"/>
        <v>40</v>
      </c>
      <c r="B158" s="6">
        <f t="shared" si="8"/>
        <v>5.7434917749851822E-2</v>
      </c>
    </row>
    <row r="159" spans="1:2" x14ac:dyDescent="0.25">
      <c r="A159" s="11">
        <f t="shared" si="7"/>
        <v>30</v>
      </c>
      <c r="B159" s="6">
        <f t="shared" si="8"/>
        <v>4.3076188312388859E-2</v>
      </c>
    </row>
    <row r="160" spans="1:2" x14ac:dyDescent="0.25">
      <c r="A160" s="11">
        <f t="shared" si="7"/>
        <v>20</v>
      </c>
      <c r="B160" s="6">
        <f t="shared" si="8"/>
        <v>2.8717458874925911E-2</v>
      </c>
    </row>
    <row r="161" spans="1:3" x14ac:dyDescent="0.25">
      <c r="A161" s="11">
        <f t="shared" si="7"/>
        <v>10</v>
      </c>
      <c r="B161" s="6">
        <f t="shared" si="8"/>
        <v>1.4358729437462955E-2</v>
      </c>
    </row>
    <row r="162" spans="1:3" ht="15.75" thickBot="1" x14ac:dyDescent="0.3">
      <c r="A162" s="8">
        <f t="shared" si="7"/>
        <v>0</v>
      </c>
      <c r="B162" s="9">
        <f t="shared" si="8"/>
        <v>0</v>
      </c>
    </row>
    <row r="163" spans="1:3" ht="15.75" thickTop="1" x14ac:dyDescent="0.25">
      <c r="A163" s="11">
        <f t="shared" si="7"/>
        <v>-10</v>
      </c>
      <c r="B163" s="6">
        <f>$B$1*A163/10^6</f>
        <v>-0.05</v>
      </c>
      <c r="C163" s="7" t="s">
        <v>9</v>
      </c>
    </row>
    <row r="164" spans="1:3" x14ac:dyDescent="0.25">
      <c r="A164" s="11">
        <f t="shared" si="7"/>
        <v>-20</v>
      </c>
      <c r="B164" s="6">
        <f t="shared" ref="B164:B202" si="9">$B$1*A164/10^6</f>
        <v>-0.1</v>
      </c>
    </row>
    <row r="165" spans="1:3" x14ac:dyDescent="0.25">
      <c r="A165" s="11">
        <f t="shared" si="7"/>
        <v>-30</v>
      </c>
      <c r="B165" s="6">
        <f t="shared" si="9"/>
        <v>-0.15</v>
      </c>
    </row>
    <row r="166" spans="1:3" x14ac:dyDescent="0.25">
      <c r="A166" s="11">
        <f t="shared" si="7"/>
        <v>-40</v>
      </c>
      <c r="B166" s="6">
        <f t="shared" si="9"/>
        <v>-0.2</v>
      </c>
    </row>
    <row r="167" spans="1:3" x14ac:dyDescent="0.25">
      <c r="A167" s="11">
        <f t="shared" si="7"/>
        <v>-50</v>
      </c>
      <c r="B167" s="6">
        <f t="shared" si="9"/>
        <v>-0.25</v>
      </c>
    </row>
    <row r="168" spans="1:3" x14ac:dyDescent="0.25">
      <c r="A168" s="11">
        <f t="shared" si="7"/>
        <v>-60</v>
      </c>
      <c r="B168" s="6">
        <f t="shared" si="9"/>
        <v>-0.3</v>
      </c>
    </row>
    <row r="169" spans="1:3" x14ac:dyDescent="0.25">
      <c r="A169" s="11">
        <f t="shared" si="7"/>
        <v>-70</v>
      </c>
      <c r="B169" s="6">
        <f t="shared" si="9"/>
        <v>-0.35</v>
      </c>
    </row>
    <row r="170" spans="1:3" x14ac:dyDescent="0.25">
      <c r="A170" s="11">
        <f t="shared" si="7"/>
        <v>-80</v>
      </c>
      <c r="B170" s="6">
        <f t="shared" si="9"/>
        <v>-0.4</v>
      </c>
    </row>
    <row r="171" spans="1:3" x14ac:dyDescent="0.25">
      <c r="A171" s="11">
        <f t="shared" si="7"/>
        <v>-90</v>
      </c>
      <c r="B171" s="6">
        <f t="shared" si="9"/>
        <v>-0.45</v>
      </c>
    </row>
    <row r="172" spans="1:3" x14ac:dyDescent="0.25">
      <c r="A172" s="11">
        <f t="shared" si="7"/>
        <v>-100</v>
      </c>
      <c r="B172" s="6">
        <f t="shared" si="9"/>
        <v>-0.5</v>
      </c>
    </row>
    <row r="173" spans="1:3" x14ac:dyDescent="0.25">
      <c r="A173" s="11">
        <f t="shared" si="7"/>
        <v>-110</v>
      </c>
      <c r="B173" s="6">
        <f t="shared" si="9"/>
        <v>-0.55000000000000004</v>
      </c>
    </row>
    <row r="174" spans="1:3" x14ac:dyDescent="0.25">
      <c r="A174" s="11">
        <f t="shared" si="7"/>
        <v>-120</v>
      </c>
      <c r="B174" s="6">
        <f t="shared" si="9"/>
        <v>-0.6</v>
      </c>
    </row>
    <row r="175" spans="1:3" x14ac:dyDescent="0.25">
      <c r="A175" s="11">
        <f t="shared" si="7"/>
        <v>-130</v>
      </c>
      <c r="B175" s="6">
        <f t="shared" si="9"/>
        <v>-0.65</v>
      </c>
    </row>
    <row r="176" spans="1:3" x14ac:dyDescent="0.25">
      <c r="A176" s="11">
        <f t="shared" si="7"/>
        <v>-140</v>
      </c>
      <c r="B176" s="6">
        <f t="shared" si="9"/>
        <v>-0.7</v>
      </c>
    </row>
    <row r="177" spans="1:2" x14ac:dyDescent="0.25">
      <c r="A177" s="11">
        <f t="shared" si="7"/>
        <v>-150</v>
      </c>
      <c r="B177" s="6">
        <f t="shared" si="9"/>
        <v>-0.75</v>
      </c>
    </row>
    <row r="178" spans="1:2" x14ac:dyDescent="0.25">
      <c r="A178" s="11">
        <f t="shared" si="7"/>
        <v>-160</v>
      </c>
      <c r="B178" s="6">
        <f t="shared" si="9"/>
        <v>-0.8</v>
      </c>
    </row>
    <row r="179" spans="1:2" x14ac:dyDescent="0.25">
      <c r="A179" s="11">
        <f t="shared" si="7"/>
        <v>-170</v>
      </c>
      <c r="B179" s="6">
        <f t="shared" si="9"/>
        <v>-0.85</v>
      </c>
    </row>
    <row r="180" spans="1:2" x14ac:dyDescent="0.25">
      <c r="A180" s="11">
        <f t="shared" si="7"/>
        <v>-180</v>
      </c>
      <c r="B180" s="6">
        <f t="shared" si="9"/>
        <v>-0.9</v>
      </c>
    </row>
    <row r="181" spans="1:2" x14ac:dyDescent="0.25">
      <c r="A181" s="11">
        <f t="shared" si="7"/>
        <v>-190</v>
      </c>
      <c r="B181" s="6">
        <f t="shared" si="9"/>
        <v>-0.95</v>
      </c>
    </row>
    <row r="182" spans="1:2" x14ac:dyDescent="0.25">
      <c r="A182" s="11">
        <f t="shared" si="7"/>
        <v>-200</v>
      </c>
      <c r="B182" s="6">
        <f t="shared" si="9"/>
        <v>-1</v>
      </c>
    </row>
    <row r="183" spans="1:2" x14ac:dyDescent="0.25">
      <c r="A183" s="11">
        <f>A182+10</f>
        <v>-190</v>
      </c>
      <c r="B183" s="6">
        <f t="shared" si="9"/>
        <v>-0.95</v>
      </c>
    </row>
    <row r="184" spans="1:2" x14ac:dyDescent="0.25">
      <c r="A184" s="11">
        <f>A183+10</f>
        <v>-180</v>
      </c>
      <c r="B184" s="6">
        <f t="shared" si="9"/>
        <v>-0.9</v>
      </c>
    </row>
    <row r="185" spans="1:2" x14ac:dyDescent="0.25">
      <c r="A185" s="11">
        <f t="shared" ref="A185:A242" si="10">A184+10</f>
        <v>-170</v>
      </c>
      <c r="B185" s="6">
        <f t="shared" si="9"/>
        <v>-0.85</v>
      </c>
    </row>
    <row r="186" spans="1:2" x14ac:dyDescent="0.25">
      <c r="A186" s="11">
        <f t="shared" si="10"/>
        <v>-160</v>
      </c>
      <c r="B186" s="6">
        <f t="shared" si="9"/>
        <v>-0.8</v>
      </c>
    </row>
    <row r="187" spans="1:2" x14ac:dyDescent="0.25">
      <c r="A187" s="11">
        <f t="shared" si="10"/>
        <v>-150</v>
      </c>
      <c r="B187" s="6">
        <f t="shared" si="9"/>
        <v>-0.75</v>
      </c>
    </row>
    <row r="188" spans="1:2" x14ac:dyDescent="0.25">
      <c r="A188" s="11">
        <f t="shared" si="10"/>
        <v>-140</v>
      </c>
      <c r="B188" s="6">
        <f t="shared" si="9"/>
        <v>-0.7</v>
      </c>
    </row>
    <row r="189" spans="1:2" x14ac:dyDescent="0.25">
      <c r="A189" s="11">
        <f t="shared" si="10"/>
        <v>-130</v>
      </c>
      <c r="B189" s="6">
        <f t="shared" si="9"/>
        <v>-0.65</v>
      </c>
    </row>
    <row r="190" spans="1:2" x14ac:dyDescent="0.25">
      <c r="A190" s="11">
        <f t="shared" si="10"/>
        <v>-120</v>
      </c>
      <c r="B190" s="6">
        <f t="shared" si="9"/>
        <v>-0.6</v>
      </c>
    </row>
    <row r="191" spans="1:2" x14ac:dyDescent="0.25">
      <c r="A191" s="11">
        <f t="shared" si="10"/>
        <v>-110</v>
      </c>
      <c r="B191" s="6">
        <f t="shared" si="9"/>
        <v>-0.55000000000000004</v>
      </c>
    </row>
    <row r="192" spans="1:2" x14ac:dyDescent="0.25">
      <c r="A192" s="11">
        <f t="shared" si="10"/>
        <v>-100</v>
      </c>
      <c r="B192" s="6">
        <f t="shared" si="9"/>
        <v>-0.5</v>
      </c>
    </row>
    <row r="193" spans="1:3" x14ac:dyDescent="0.25">
      <c r="A193" s="11">
        <f t="shared" si="10"/>
        <v>-90</v>
      </c>
      <c r="B193" s="6">
        <f t="shared" si="9"/>
        <v>-0.45</v>
      </c>
    </row>
    <row r="194" spans="1:3" x14ac:dyDescent="0.25">
      <c r="A194" s="11">
        <f t="shared" si="10"/>
        <v>-80</v>
      </c>
      <c r="B194" s="6">
        <f t="shared" si="9"/>
        <v>-0.4</v>
      </c>
    </row>
    <row r="195" spans="1:3" x14ac:dyDescent="0.25">
      <c r="A195" s="11">
        <f t="shared" si="10"/>
        <v>-70</v>
      </c>
      <c r="B195" s="6">
        <f t="shared" si="9"/>
        <v>-0.35</v>
      </c>
    </row>
    <row r="196" spans="1:3" x14ac:dyDescent="0.25">
      <c r="A196" s="11">
        <f t="shared" si="10"/>
        <v>-60</v>
      </c>
      <c r="B196" s="6">
        <f t="shared" si="9"/>
        <v>-0.3</v>
      </c>
    </row>
    <row r="197" spans="1:3" x14ac:dyDescent="0.25">
      <c r="A197" s="11">
        <f t="shared" si="10"/>
        <v>-50</v>
      </c>
      <c r="B197" s="6">
        <f t="shared" si="9"/>
        <v>-0.25</v>
      </c>
    </row>
    <row r="198" spans="1:3" x14ac:dyDescent="0.25">
      <c r="A198" s="11">
        <f t="shared" si="10"/>
        <v>-40</v>
      </c>
      <c r="B198" s="6">
        <f t="shared" si="9"/>
        <v>-0.2</v>
      </c>
    </row>
    <row r="199" spans="1:3" x14ac:dyDescent="0.25">
      <c r="A199" s="11">
        <f t="shared" si="10"/>
        <v>-30</v>
      </c>
      <c r="B199" s="6">
        <f t="shared" si="9"/>
        <v>-0.15</v>
      </c>
    </row>
    <row r="200" spans="1:3" x14ac:dyDescent="0.25">
      <c r="A200" s="11">
        <f t="shared" si="10"/>
        <v>-20</v>
      </c>
      <c r="B200" s="6">
        <f t="shared" si="9"/>
        <v>-0.1</v>
      </c>
    </row>
    <row r="201" spans="1:3" x14ac:dyDescent="0.25">
      <c r="A201" s="11">
        <f t="shared" si="10"/>
        <v>-10</v>
      </c>
      <c r="B201" s="6">
        <f t="shared" si="9"/>
        <v>-0.05</v>
      </c>
    </row>
    <row r="202" spans="1:3" ht="15.75" thickBot="1" x14ac:dyDescent="0.3">
      <c r="A202" s="8">
        <f t="shared" si="10"/>
        <v>0</v>
      </c>
      <c r="B202" s="9">
        <f t="shared" si="9"/>
        <v>0</v>
      </c>
    </row>
    <row r="203" spans="1:3" ht="15.75" thickTop="1" x14ac:dyDescent="0.25">
      <c r="A203" s="11">
        <f t="shared" si="10"/>
        <v>10</v>
      </c>
      <c r="B203" s="6">
        <f>-$F$143*A203/10^6</f>
        <v>1.4358729437462955E-2</v>
      </c>
      <c r="C203" s="7" t="s">
        <v>10</v>
      </c>
    </row>
    <row r="204" spans="1:3" x14ac:dyDescent="0.25">
      <c r="A204" s="11">
        <f t="shared" si="10"/>
        <v>20</v>
      </c>
      <c r="B204" s="6">
        <f t="shared" ref="B204:B222" si="11">-$F$143*A204/10^6</f>
        <v>2.8717458874925911E-2</v>
      </c>
    </row>
    <row r="205" spans="1:3" x14ac:dyDescent="0.25">
      <c r="A205" s="11">
        <f t="shared" si="10"/>
        <v>30</v>
      </c>
      <c r="B205" s="6">
        <f t="shared" si="11"/>
        <v>4.3076188312388859E-2</v>
      </c>
    </row>
    <row r="206" spans="1:3" x14ac:dyDescent="0.25">
      <c r="A206" s="11">
        <f t="shared" si="10"/>
        <v>40</v>
      </c>
      <c r="B206" s="6">
        <f t="shared" si="11"/>
        <v>5.7434917749851822E-2</v>
      </c>
    </row>
    <row r="207" spans="1:3" x14ac:dyDescent="0.25">
      <c r="A207" s="11">
        <f t="shared" si="10"/>
        <v>50</v>
      </c>
      <c r="B207" s="6">
        <f t="shared" si="11"/>
        <v>7.1793647187314777E-2</v>
      </c>
    </row>
    <row r="208" spans="1:3" x14ac:dyDescent="0.25">
      <c r="A208" s="11">
        <f t="shared" si="10"/>
        <v>60</v>
      </c>
      <c r="B208" s="6">
        <f t="shared" si="11"/>
        <v>8.6152376624777718E-2</v>
      </c>
    </row>
    <row r="209" spans="1:3" x14ac:dyDescent="0.25">
      <c r="A209" s="11">
        <f t="shared" si="10"/>
        <v>70</v>
      </c>
      <c r="B209" s="6">
        <f t="shared" si="11"/>
        <v>0.10051110606224067</v>
      </c>
    </row>
    <row r="210" spans="1:3" x14ac:dyDescent="0.25">
      <c r="A210" s="11">
        <f t="shared" si="10"/>
        <v>80</v>
      </c>
      <c r="B210" s="6">
        <f t="shared" si="11"/>
        <v>0.11486983549970364</v>
      </c>
    </row>
    <row r="211" spans="1:3" x14ac:dyDescent="0.25">
      <c r="A211" s="11">
        <f t="shared" si="10"/>
        <v>90</v>
      </c>
      <c r="B211" s="6">
        <f t="shared" si="11"/>
        <v>0.12922856493716658</v>
      </c>
    </row>
    <row r="212" spans="1:3" x14ac:dyDescent="0.25">
      <c r="A212" s="11">
        <f t="shared" si="10"/>
        <v>100</v>
      </c>
      <c r="B212" s="6">
        <f t="shared" si="11"/>
        <v>0.14358729437462955</v>
      </c>
    </row>
    <row r="213" spans="1:3" x14ac:dyDescent="0.25">
      <c r="A213" s="11">
        <f t="shared" si="10"/>
        <v>110</v>
      </c>
      <c r="B213" s="6">
        <f t="shared" si="11"/>
        <v>0.1579460238120925</v>
      </c>
    </row>
    <row r="214" spans="1:3" x14ac:dyDescent="0.25">
      <c r="A214" s="11">
        <f t="shared" si="10"/>
        <v>120</v>
      </c>
      <c r="B214" s="6">
        <f t="shared" si="11"/>
        <v>0.17230475324955544</v>
      </c>
    </row>
    <row r="215" spans="1:3" x14ac:dyDescent="0.25">
      <c r="A215" s="11">
        <f t="shared" si="10"/>
        <v>130</v>
      </c>
      <c r="B215" s="6">
        <f t="shared" si="11"/>
        <v>0.18666348268701841</v>
      </c>
    </row>
    <row r="216" spans="1:3" x14ac:dyDescent="0.25">
      <c r="A216" s="11">
        <f t="shared" si="10"/>
        <v>140</v>
      </c>
      <c r="B216" s="6">
        <f t="shared" si="11"/>
        <v>0.20102221212448135</v>
      </c>
    </row>
    <row r="217" spans="1:3" x14ac:dyDescent="0.25">
      <c r="A217" s="11">
        <f t="shared" si="10"/>
        <v>150</v>
      </c>
      <c r="B217" s="6">
        <f t="shared" si="11"/>
        <v>0.21538094156194432</v>
      </c>
    </row>
    <row r="218" spans="1:3" x14ac:dyDescent="0.25">
      <c r="A218" s="11">
        <f t="shared" si="10"/>
        <v>160</v>
      </c>
      <c r="B218" s="6">
        <f t="shared" si="11"/>
        <v>0.22973967099940729</v>
      </c>
    </row>
    <row r="219" spans="1:3" x14ac:dyDescent="0.25">
      <c r="A219" s="11">
        <f t="shared" si="10"/>
        <v>170</v>
      </c>
      <c r="B219" s="6">
        <f t="shared" si="11"/>
        <v>0.24409840043687023</v>
      </c>
    </row>
    <row r="220" spans="1:3" x14ac:dyDescent="0.25">
      <c r="A220" s="11">
        <f t="shared" si="10"/>
        <v>180</v>
      </c>
      <c r="B220" s="6">
        <f t="shared" si="11"/>
        <v>0.25845712987433317</v>
      </c>
    </row>
    <row r="221" spans="1:3" x14ac:dyDescent="0.25">
      <c r="A221" s="11">
        <f t="shared" si="10"/>
        <v>190</v>
      </c>
      <c r="B221" s="6">
        <f t="shared" si="11"/>
        <v>0.27281585931179614</v>
      </c>
    </row>
    <row r="222" spans="1:3" ht="15.75" thickBot="1" x14ac:dyDescent="0.3">
      <c r="A222" s="8">
        <f t="shared" si="10"/>
        <v>200</v>
      </c>
      <c r="B222" s="9">
        <f t="shared" si="11"/>
        <v>0.28717458874925911</v>
      </c>
    </row>
    <row r="223" spans="1:3" ht="15.75" thickTop="1" x14ac:dyDescent="0.25">
      <c r="A223" s="11">
        <f t="shared" si="10"/>
        <v>210</v>
      </c>
      <c r="B223" s="5">
        <f>$F$1*($H$1/A223)^$D$1</f>
        <v>0.27618149015571458</v>
      </c>
      <c r="C223" s="7" t="s">
        <v>6</v>
      </c>
    </row>
    <row r="224" spans="1:3" x14ac:dyDescent="0.25">
      <c r="A224" s="11">
        <f t="shared" si="10"/>
        <v>220</v>
      </c>
      <c r="B224" s="5">
        <f t="shared" ref="B224:B242" si="12">$F$1*($H$1/A224)^$D$1</f>
        <v>0.26609202567383916</v>
      </c>
    </row>
    <row r="225" spans="1:2" x14ac:dyDescent="0.25">
      <c r="A225" s="11">
        <f t="shared" si="10"/>
        <v>230</v>
      </c>
      <c r="B225" s="5">
        <f t="shared" si="12"/>
        <v>0.25679569305284966</v>
      </c>
    </row>
    <row r="226" spans="1:2" x14ac:dyDescent="0.25">
      <c r="A226" s="11">
        <f t="shared" si="10"/>
        <v>240</v>
      </c>
      <c r="B226" s="5">
        <f t="shared" si="12"/>
        <v>0.24819956211814409</v>
      </c>
    </row>
    <row r="227" spans="1:2" x14ac:dyDescent="0.25">
      <c r="A227" s="11">
        <f t="shared" si="10"/>
        <v>250</v>
      </c>
      <c r="B227" s="5">
        <f t="shared" si="12"/>
        <v>0.24022488679628626</v>
      </c>
    </row>
    <row r="228" spans="1:2" x14ac:dyDescent="0.25">
      <c r="A228" s="11">
        <f t="shared" si="10"/>
        <v>260</v>
      </c>
      <c r="B228" s="5">
        <f t="shared" si="12"/>
        <v>0.23280447598222975</v>
      </c>
    </row>
    <row r="229" spans="1:2" x14ac:dyDescent="0.25">
      <c r="A229" s="11">
        <f t="shared" si="10"/>
        <v>270</v>
      </c>
      <c r="B229" s="5">
        <f t="shared" si="12"/>
        <v>0.22588063138276565</v>
      </c>
    </row>
    <row r="230" spans="1:2" x14ac:dyDescent="0.25">
      <c r="A230" s="11">
        <f t="shared" si="10"/>
        <v>280</v>
      </c>
      <c r="B230" s="5">
        <f t="shared" si="12"/>
        <v>0.21940351412199058</v>
      </c>
    </row>
    <row r="231" spans="1:2" x14ac:dyDescent="0.25">
      <c r="A231" s="11">
        <f t="shared" si="10"/>
        <v>290</v>
      </c>
      <c r="B231" s="5">
        <f t="shared" si="12"/>
        <v>0.2133298392057118</v>
      </c>
    </row>
    <row r="232" spans="1:2" x14ac:dyDescent="0.25">
      <c r="A232" s="11">
        <f t="shared" si="10"/>
        <v>300</v>
      </c>
      <c r="B232" s="5">
        <f t="shared" si="12"/>
        <v>0.20762182326925285</v>
      </c>
    </row>
    <row r="233" spans="1:2" x14ac:dyDescent="0.25">
      <c r="A233" s="11">
        <f t="shared" si="10"/>
        <v>310</v>
      </c>
      <c r="B233" s="5">
        <f t="shared" si="12"/>
        <v>0.20224632986134669</v>
      </c>
    </row>
    <row r="234" spans="1:2" x14ac:dyDescent="0.25">
      <c r="A234" s="11">
        <f t="shared" si="10"/>
        <v>320</v>
      </c>
      <c r="B234" s="5">
        <f t="shared" si="12"/>
        <v>0.19717417015006039</v>
      </c>
    </row>
    <row r="235" spans="1:2" x14ac:dyDescent="0.25">
      <c r="A235" s="11">
        <f t="shared" si="10"/>
        <v>330</v>
      </c>
      <c r="B235" s="5">
        <f t="shared" si="12"/>
        <v>0.19237952692272789</v>
      </c>
    </row>
    <row r="236" spans="1:2" x14ac:dyDescent="0.25">
      <c r="A236" s="11">
        <f t="shared" si="10"/>
        <v>340</v>
      </c>
      <c r="B236" s="5">
        <f t="shared" si="12"/>
        <v>0.18783947714522642</v>
      </c>
    </row>
    <row r="237" spans="1:2" x14ac:dyDescent="0.25">
      <c r="A237" s="11">
        <f t="shared" si="10"/>
        <v>350</v>
      </c>
      <c r="B237" s="5">
        <f t="shared" si="12"/>
        <v>0.18353359387477702</v>
      </c>
    </row>
    <row r="238" spans="1:2" x14ac:dyDescent="0.25">
      <c r="A238" s="11">
        <f t="shared" si="10"/>
        <v>360</v>
      </c>
      <c r="B238" s="5">
        <f t="shared" si="12"/>
        <v>0.17944361249383797</v>
      </c>
    </row>
    <row r="239" spans="1:2" x14ac:dyDescent="0.25">
      <c r="A239" s="11">
        <f t="shared" si="10"/>
        <v>370</v>
      </c>
      <c r="B239" s="5">
        <f t="shared" si="12"/>
        <v>0.17555314941062977</v>
      </c>
    </row>
    <row r="240" spans="1:2" x14ac:dyDescent="0.25">
      <c r="A240" s="11">
        <f t="shared" si="10"/>
        <v>380</v>
      </c>
      <c r="B240" s="5">
        <f t="shared" si="12"/>
        <v>0.17184746381181581</v>
      </c>
    </row>
    <row r="241" spans="1:6" x14ac:dyDescent="0.25">
      <c r="A241" s="11">
        <f t="shared" si="10"/>
        <v>390</v>
      </c>
      <c r="B241" s="5">
        <f t="shared" si="12"/>
        <v>0.16831325494080052</v>
      </c>
    </row>
    <row r="242" spans="1:6" ht="15.75" thickBot="1" x14ac:dyDescent="0.3">
      <c r="A242" s="10">
        <f t="shared" si="10"/>
        <v>400</v>
      </c>
      <c r="B242" s="9">
        <f t="shared" si="12"/>
        <v>0.1649384888466118</v>
      </c>
    </row>
    <row r="243" spans="1:6" ht="15.75" thickTop="1" x14ac:dyDescent="0.25">
      <c r="A243" s="11">
        <f>A242-10</f>
        <v>390</v>
      </c>
      <c r="B243" s="6">
        <f>-$F$243*A243/10^6</f>
        <v>0.16081502662544667</v>
      </c>
      <c r="C243" s="7" t="s">
        <v>11</v>
      </c>
      <c r="E243" s="7" t="s">
        <v>12</v>
      </c>
      <c r="F243" s="3">
        <f>-$F$1*($H$1^$D$1)/(A242^($D$1+1))*10^6</f>
        <v>-412.34622211652987</v>
      </c>
    </row>
    <row r="244" spans="1:6" x14ac:dyDescent="0.25">
      <c r="A244" s="11">
        <f t="shared" ref="A244:A302" si="13">A243-10</f>
        <v>380</v>
      </c>
      <c r="B244" s="6">
        <f t="shared" ref="B244:B282" si="14">-$F$243*A244/10^6</f>
        <v>0.15669156440428136</v>
      </c>
    </row>
    <row r="245" spans="1:6" x14ac:dyDescent="0.25">
      <c r="A245" s="11">
        <f t="shared" si="13"/>
        <v>370</v>
      </c>
      <c r="B245" s="6">
        <f t="shared" si="14"/>
        <v>0.15256810218311603</v>
      </c>
    </row>
    <row r="246" spans="1:6" x14ac:dyDescent="0.25">
      <c r="A246" s="11">
        <f t="shared" si="13"/>
        <v>360</v>
      </c>
      <c r="B246" s="6">
        <f t="shared" si="14"/>
        <v>0.14844463996195073</v>
      </c>
    </row>
    <row r="247" spans="1:6" x14ac:dyDescent="0.25">
      <c r="A247" s="11">
        <f t="shared" si="13"/>
        <v>350</v>
      </c>
      <c r="B247" s="6">
        <f t="shared" si="14"/>
        <v>0.14432117774078546</v>
      </c>
    </row>
    <row r="248" spans="1:6" x14ac:dyDescent="0.25">
      <c r="A248" s="11">
        <f t="shared" si="13"/>
        <v>340</v>
      </c>
      <c r="B248" s="6">
        <f t="shared" si="14"/>
        <v>0.14019771551962015</v>
      </c>
    </row>
    <row r="249" spans="1:6" x14ac:dyDescent="0.25">
      <c r="A249" s="11">
        <f t="shared" si="13"/>
        <v>330</v>
      </c>
      <c r="B249" s="6">
        <f t="shared" si="14"/>
        <v>0.13607425329845485</v>
      </c>
    </row>
    <row r="250" spans="1:6" x14ac:dyDescent="0.25">
      <c r="A250" s="11">
        <f t="shared" si="13"/>
        <v>320</v>
      </c>
      <c r="B250" s="6">
        <f t="shared" si="14"/>
        <v>0.13195079107728955</v>
      </c>
    </row>
    <row r="251" spans="1:6" x14ac:dyDescent="0.25">
      <c r="A251" s="11">
        <f t="shared" si="13"/>
        <v>310</v>
      </c>
      <c r="B251" s="6">
        <f t="shared" si="14"/>
        <v>0.12782732885612427</v>
      </c>
    </row>
    <row r="252" spans="1:6" x14ac:dyDescent="0.25">
      <c r="A252" s="11">
        <f t="shared" si="13"/>
        <v>300</v>
      </c>
      <c r="B252" s="6">
        <f t="shared" si="14"/>
        <v>0.12370386663495896</v>
      </c>
    </row>
    <row r="253" spans="1:6" x14ac:dyDescent="0.25">
      <c r="A253" s="11">
        <f t="shared" si="13"/>
        <v>290</v>
      </c>
      <c r="B253" s="6">
        <f t="shared" si="14"/>
        <v>0.11958040441379365</v>
      </c>
    </row>
    <row r="254" spans="1:6" x14ac:dyDescent="0.25">
      <c r="A254" s="11">
        <f t="shared" si="13"/>
        <v>280</v>
      </c>
      <c r="B254" s="6">
        <f t="shared" si="14"/>
        <v>0.11545694219262836</v>
      </c>
    </row>
    <row r="255" spans="1:6" x14ac:dyDescent="0.25">
      <c r="A255" s="11">
        <f t="shared" si="13"/>
        <v>270</v>
      </c>
      <c r="B255" s="6">
        <f t="shared" si="14"/>
        <v>0.11133347997146306</v>
      </c>
    </row>
    <row r="256" spans="1:6" x14ac:dyDescent="0.25">
      <c r="A256" s="11">
        <f t="shared" si="13"/>
        <v>260</v>
      </c>
      <c r="B256" s="6">
        <f t="shared" si="14"/>
        <v>0.10721001775029776</v>
      </c>
    </row>
    <row r="257" spans="1:2" x14ac:dyDescent="0.25">
      <c r="A257" s="11">
        <f t="shared" si="13"/>
        <v>250</v>
      </c>
      <c r="B257" s="6">
        <f t="shared" si="14"/>
        <v>0.10308655552913247</v>
      </c>
    </row>
    <row r="258" spans="1:2" x14ac:dyDescent="0.25">
      <c r="A258" s="11">
        <f t="shared" si="13"/>
        <v>240</v>
      </c>
      <c r="B258" s="6">
        <f t="shared" si="14"/>
        <v>9.8963093307967168E-2</v>
      </c>
    </row>
    <row r="259" spans="1:2" x14ac:dyDescent="0.25">
      <c r="A259" s="11">
        <f t="shared" si="13"/>
        <v>230</v>
      </c>
      <c r="B259" s="6">
        <f t="shared" si="14"/>
        <v>9.4839631086801879E-2</v>
      </c>
    </row>
    <row r="260" spans="1:2" x14ac:dyDescent="0.25">
      <c r="A260" s="11">
        <f t="shared" si="13"/>
        <v>220</v>
      </c>
      <c r="B260" s="6">
        <f t="shared" si="14"/>
        <v>9.0716168865636576E-2</v>
      </c>
    </row>
    <row r="261" spans="1:2" x14ac:dyDescent="0.25">
      <c r="A261" s="11">
        <f t="shared" si="13"/>
        <v>210</v>
      </c>
      <c r="B261" s="6">
        <f t="shared" si="14"/>
        <v>8.6592706644471273E-2</v>
      </c>
    </row>
    <row r="262" spans="1:2" x14ac:dyDescent="0.25">
      <c r="A262" s="11">
        <f t="shared" si="13"/>
        <v>200</v>
      </c>
      <c r="B262" s="6">
        <f t="shared" si="14"/>
        <v>8.2469244423305985E-2</v>
      </c>
    </row>
    <row r="263" spans="1:2" x14ac:dyDescent="0.25">
      <c r="A263" s="11">
        <f t="shared" si="13"/>
        <v>190</v>
      </c>
      <c r="B263" s="6">
        <f t="shared" si="14"/>
        <v>7.8345782202140682E-2</v>
      </c>
    </row>
    <row r="264" spans="1:2" x14ac:dyDescent="0.25">
      <c r="A264" s="11">
        <f t="shared" si="13"/>
        <v>180</v>
      </c>
      <c r="B264" s="6">
        <f t="shared" si="14"/>
        <v>7.4222319980975365E-2</v>
      </c>
    </row>
    <row r="265" spans="1:2" x14ac:dyDescent="0.25">
      <c r="A265" s="11">
        <f t="shared" si="13"/>
        <v>170</v>
      </c>
      <c r="B265" s="6">
        <f t="shared" si="14"/>
        <v>7.0098857759810076E-2</v>
      </c>
    </row>
    <row r="266" spans="1:2" x14ac:dyDescent="0.25">
      <c r="A266" s="11">
        <f t="shared" si="13"/>
        <v>160</v>
      </c>
      <c r="B266" s="6">
        <f t="shared" si="14"/>
        <v>6.5975395538644774E-2</v>
      </c>
    </row>
    <row r="267" spans="1:2" x14ac:dyDescent="0.25">
      <c r="A267" s="11">
        <f t="shared" si="13"/>
        <v>150</v>
      </c>
      <c r="B267" s="6">
        <f t="shared" si="14"/>
        <v>6.1851933317479478E-2</v>
      </c>
    </row>
    <row r="268" spans="1:2" x14ac:dyDescent="0.25">
      <c r="A268" s="11">
        <f t="shared" si="13"/>
        <v>140</v>
      </c>
      <c r="B268" s="6">
        <f t="shared" si="14"/>
        <v>5.7728471096314182E-2</v>
      </c>
    </row>
    <row r="269" spans="1:2" x14ac:dyDescent="0.25">
      <c r="A269" s="11">
        <f t="shared" si="13"/>
        <v>130</v>
      </c>
      <c r="B269" s="6">
        <f t="shared" si="14"/>
        <v>5.360500887514888E-2</v>
      </c>
    </row>
    <row r="270" spans="1:2" x14ac:dyDescent="0.25">
      <c r="A270" s="11">
        <f t="shared" si="13"/>
        <v>120</v>
      </c>
      <c r="B270" s="6">
        <f t="shared" si="14"/>
        <v>4.9481546653983584E-2</v>
      </c>
    </row>
    <row r="271" spans="1:2" x14ac:dyDescent="0.25">
      <c r="A271" s="11">
        <f t="shared" si="13"/>
        <v>110</v>
      </c>
      <c r="B271" s="6">
        <f t="shared" si="14"/>
        <v>4.5358084432818288E-2</v>
      </c>
    </row>
    <row r="272" spans="1:2" x14ac:dyDescent="0.25">
      <c r="A272" s="11">
        <f t="shared" si="13"/>
        <v>100</v>
      </c>
      <c r="B272" s="6">
        <f t="shared" si="14"/>
        <v>4.1234622211652992E-2</v>
      </c>
    </row>
    <row r="273" spans="1:3" x14ac:dyDescent="0.25">
      <c r="A273" s="11">
        <f t="shared" si="13"/>
        <v>90</v>
      </c>
      <c r="B273" s="6">
        <f t="shared" si="14"/>
        <v>3.7111159990487683E-2</v>
      </c>
    </row>
    <row r="274" spans="1:3" x14ac:dyDescent="0.25">
      <c r="A274" s="11">
        <f t="shared" si="13"/>
        <v>80</v>
      </c>
      <c r="B274" s="6">
        <f t="shared" si="14"/>
        <v>3.2987697769322387E-2</v>
      </c>
    </row>
    <row r="275" spans="1:3" x14ac:dyDescent="0.25">
      <c r="A275" s="11">
        <f t="shared" si="13"/>
        <v>70</v>
      </c>
      <c r="B275" s="6">
        <f t="shared" si="14"/>
        <v>2.8864235548157091E-2</v>
      </c>
    </row>
    <row r="276" spans="1:3" x14ac:dyDescent="0.25">
      <c r="A276" s="11">
        <f t="shared" si="13"/>
        <v>60</v>
      </c>
      <c r="B276" s="6">
        <f t="shared" si="14"/>
        <v>2.4740773326991792E-2</v>
      </c>
    </row>
    <row r="277" spans="1:3" x14ac:dyDescent="0.25">
      <c r="A277" s="11">
        <f t="shared" si="13"/>
        <v>50</v>
      </c>
      <c r="B277" s="6">
        <f t="shared" si="14"/>
        <v>2.0617311105826496E-2</v>
      </c>
    </row>
    <row r="278" spans="1:3" x14ac:dyDescent="0.25">
      <c r="A278" s="11">
        <f t="shared" si="13"/>
        <v>40</v>
      </c>
      <c r="B278" s="6">
        <f t="shared" si="14"/>
        <v>1.6493848884661193E-2</v>
      </c>
    </row>
    <row r="279" spans="1:3" x14ac:dyDescent="0.25">
      <c r="A279" s="11">
        <f t="shared" si="13"/>
        <v>30</v>
      </c>
      <c r="B279" s="6">
        <f t="shared" si="14"/>
        <v>1.2370386663495896E-2</v>
      </c>
    </row>
    <row r="280" spans="1:3" x14ac:dyDescent="0.25">
      <c r="A280" s="11">
        <f t="shared" si="13"/>
        <v>20</v>
      </c>
      <c r="B280" s="6">
        <f t="shared" si="14"/>
        <v>8.2469244423305967E-3</v>
      </c>
    </row>
    <row r="281" spans="1:3" x14ac:dyDescent="0.25">
      <c r="A281" s="11">
        <f t="shared" si="13"/>
        <v>10</v>
      </c>
      <c r="B281" s="6">
        <f t="shared" si="14"/>
        <v>4.1234622211652984E-3</v>
      </c>
    </row>
    <row r="282" spans="1:3" ht="15.75" thickBot="1" x14ac:dyDescent="0.3">
      <c r="A282" s="8">
        <f t="shared" si="13"/>
        <v>0</v>
      </c>
      <c r="B282" s="9">
        <f t="shared" si="14"/>
        <v>0</v>
      </c>
    </row>
    <row r="283" spans="1:3" ht="15.75" thickTop="1" x14ac:dyDescent="0.25">
      <c r="A283" s="11">
        <f t="shared" si="13"/>
        <v>-10</v>
      </c>
      <c r="B283" s="5">
        <f>$B$1*A283/10^6</f>
        <v>-0.05</v>
      </c>
      <c r="C283" s="7" t="s">
        <v>9</v>
      </c>
    </row>
    <row r="284" spans="1:3" x14ac:dyDescent="0.25">
      <c r="A284" s="11">
        <f t="shared" si="13"/>
        <v>-20</v>
      </c>
      <c r="B284" s="6">
        <f t="shared" ref="B284:B322" si="15">$B$1*A284/10^6</f>
        <v>-0.1</v>
      </c>
    </row>
    <row r="285" spans="1:3" x14ac:dyDescent="0.25">
      <c r="A285" s="11">
        <f t="shared" si="13"/>
        <v>-30</v>
      </c>
      <c r="B285" s="6">
        <f t="shared" si="15"/>
        <v>-0.15</v>
      </c>
    </row>
    <row r="286" spans="1:3" x14ac:dyDescent="0.25">
      <c r="A286" s="11">
        <f t="shared" si="13"/>
        <v>-40</v>
      </c>
      <c r="B286" s="6">
        <f t="shared" si="15"/>
        <v>-0.2</v>
      </c>
    </row>
    <row r="287" spans="1:3" x14ac:dyDescent="0.25">
      <c r="A287" s="11">
        <f t="shared" si="13"/>
        <v>-50</v>
      </c>
      <c r="B287" s="6">
        <f t="shared" si="15"/>
        <v>-0.25</v>
      </c>
    </row>
    <row r="288" spans="1:3" x14ac:dyDescent="0.25">
      <c r="A288" s="11">
        <f t="shared" si="13"/>
        <v>-60</v>
      </c>
      <c r="B288" s="6">
        <f t="shared" si="15"/>
        <v>-0.3</v>
      </c>
    </row>
    <row r="289" spans="1:2" x14ac:dyDescent="0.25">
      <c r="A289" s="11">
        <f t="shared" si="13"/>
        <v>-70</v>
      </c>
      <c r="B289" s="6">
        <f t="shared" si="15"/>
        <v>-0.35</v>
      </c>
    </row>
    <row r="290" spans="1:2" x14ac:dyDescent="0.25">
      <c r="A290" s="11">
        <f t="shared" si="13"/>
        <v>-80</v>
      </c>
      <c r="B290" s="6">
        <f t="shared" si="15"/>
        <v>-0.4</v>
      </c>
    </row>
    <row r="291" spans="1:2" x14ac:dyDescent="0.25">
      <c r="A291" s="11">
        <f t="shared" si="13"/>
        <v>-90</v>
      </c>
      <c r="B291" s="6">
        <f t="shared" si="15"/>
        <v>-0.45</v>
      </c>
    </row>
    <row r="292" spans="1:2" x14ac:dyDescent="0.25">
      <c r="A292" s="11">
        <f t="shared" si="13"/>
        <v>-100</v>
      </c>
      <c r="B292" s="6">
        <f t="shared" si="15"/>
        <v>-0.5</v>
      </c>
    </row>
    <row r="293" spans="1:2" x14ac:dyDescent="0.25">
      <c r="A293" s="11">
        <f t="shared" si="13"/>
        <v>-110</v>
      </c>
      <c r="B293" s="6">
        <f t="shared" si="15"/>
        <v>-0.55000000000000004</v>
      </c>
    </row>
    <row r="294" spans="1:2" x14ac:dyDescent="0.25">
      <c r="A294" s="11">
        <f t="shared" si="13"/>
        <v>-120</v>
      </c>
      <c r="B294" s="6">
        <f t="shared" si="15"/>
        <v>-0.6</v>
      </c>
    </row>
    <row r="295" spans="1:2" x14ac:dyDescent="0.25">
      <c r="A295" s="11">
        <f t="shared" si="13"/>
        <v>-130</v>
      </c>
      <c r="B295" s="6">
        <f t="shared" si="15"/>
        <v>-0.65</v>
      </c>
    </row>
    <row r="296" spans="1:2" x14ac:dyDescent="0.25">
      <c r="A296" s="11">
        <f t="shared" si="13"/>
        <v>-140</v>
      </c>
      <c r="B296" s="6">
        <f t="shared" si="15"/>
        <v>-0.7</v>
      </c>
    </row>
    <row r="297" spans="1:2" x14ac:dyDescent="0.25">
      <c r="A297" s="11">
        <f t="shared" si="13"/>
        <v>-150</v>
      </c>
      <c r="B297" s="6">
        <f t="shared" si="15"/>
        <v>-0.75</v>
      </c>
    </row>
    <row r="298" spans="1:2" x14ac:dyDescent="0.25">
      <c r="A298" s="11">
        <f t="shared" si="13"/>
        <v>-160</v>
      </c>
      <c r="B298" s="6">
        <f t="shared" si="15"/>
        <v>-0.8</v>
      </c>
    </row>
    <row r="299" spans="1:2" x14ac:dyDescent="0.25">
      <c r="A299" s="11">
        <f t="shared" si="13"/>
        <v>-170</v>
      </c>
      <c r="B299" s="6">
        <f t="shared" si="15"/>
        <v>-0.85</v>
      </c>
    </row>
    <row r="300" spans="1:2" x14ac:dyDescent="0.25">
      <c r="A300" s="11">
        <f t="shared" si="13"/>
        <v>-180</v>
      </c>
      <c r="B300" s="6">
        <f t="shared" si="15"/>
        <v>-0.9</v>
      </c>
    </row>
    <row r="301" spans="1:2" x14ac:dyDescent="0.25">
      <c r="A301" s="11">
        <f t="shared" si="13"/>
        <v>-190</v>
      </c>
      <c r="B301" s="6">
        <f t="shared" si="15"/>
        <v>-0.95</v>
      </c>
    </row>
    <row r="302" spans="1:2" x14ac:dyDescent="0.25">
      <c r="A302" s="11">
        <f t="shared" si="13"/>
        <v>-200</v>
      </c>
      <c r="B302" s="6">
        <f t="shared" si="15"/>
        <v>-1</v>
      </c>
    </row>
    <row r="303" spans="1:2" x14ac:dyDescent="0.25">
      <c r="A303" s="11">
        <f>A302+10</f>
        <v>-190</v>
      </c>
      <c r="B303" s="6">
        <f t="shared" si="15"/>
        <v>-0.95</v>
      </c>
    </row>
    <row r="304" spans="1:2" x14ac:dyDescent="0.25">
      <c r="A304" s="11">
        <f t="shared" ref="A304:A367" si="16">A303+10</f>
        <v>-180</v>
      </c>
      <c r="B304" s="6">
        <f t="shared" si="15"/>
        <v>-0.9</v>
      </c>
    </row>
    <row r="305" spans="1:2" x14ac:dyDescent="0.25">
      <c r="A305" s="11">
        <f t="shared" si="16"/>
        <v>-170</v>
      </c>
      <c r="B305" s="6">
        <f t="shared" si="15"/>
        <v>-0.85</v>
      </c>
    </row>
    <row r="306" spans="1:2" x14ac:dyDescent="0.25">
      <c r="A306" s="11">
        <f t="shared" si="16"/>
        <v>-160</v>
      </c>
      <c r="B306" s="6">
        <f t="shared" si="15"/>
        <v>-0.8</v>
      </c>
    </row>
    <row r="307" spans="1:2" x14ac:dyDescent="0.25">
      <c r="A307" s="11">
        <f t="shared" si="16"/>
        <v>-150</v>
      </c>
      <c r="B307" s="6">
        <f t="shared" si="15"/>
        <v>-0.75</v>
      </c>
    </row>
    <row r="308" spans="1:2" x14ac:dyDescent="0.25">
      <c r="A308" s="11">
        <f t="shared" si="16"/>
        <v>-140</v>
      </c>
      <c r="B308" s="6">
        <f t="shared" si="15"/>
        <v>-0.7</v>
      </c>
    </row>
    <row r="309" spans="1:2" x14ac:dyDescent="0.25">
      <c r="A309" s="11">
        <f t="shared" si="16"/>
        <v>-130</v>
      </c>
      <c r="B309" s="6">
        <f t="shared" si="15"/>
        <v>-0.65</v>
      </c>
    </row>
    <row r="310" spans="1:2" x14ac:dyDescent="0.25">
      <c r="A310" s="11">
        <f t="shared" si="16"/>
        <v>-120</v>
      </c>
      <c r="B310" s="6">
        <f t="shared" si="15"/>
        <v>-0.6</v>
      </c>
    </row>
    <row r="311" spans="1:2" x14ac:dyDescent="0.25">
      <c r="A311" s="11">
        <f t="shared" si="16"/>
        <v>-110</v>
      </c>
      <c r="B311" s="6">
        <f t="shared" si="15"/>
        <v>-0.55000000000000004</v>
      </c>
    </row>
    <row r="312" spans="1:2" x14ac:dyDescent="0.25">
      <c r="A312" s="11">
        <f t="shared" si="16"/>
        <v>-100</v>
      </c>
      <c r="B312" s="6">
        <f t="shared" si="15"/>
        <v>-0.5</v>
      </c>
    </row>
    <row r="313" spans="1:2" x14ac:dyDescent="0.25">
      <c r="A313" s="11">
        <f t="shared" si="16"/>
        <v>-90</v>
      </c>
      <c r="B313" s="6">
        <f t="shared" si="15"/>
        <v>-0.45</v>
      </c>
    </row>
    <row r="314" spans="1:2" x14ac:dyDescent="0.25">
      <c r="A314" s="11">
        <f t="shared" si="16"/>
        <v>-80</v>
      </c>
      <c r="B314" s="6">
        <f t="shared" si="15"/>
        <v>-0.4</v>
      </c>
    </row>
    <row r="315" spans="1:2" x14ac:dyDescent="0.25">
      <c r="A315" s="11">
        <f t="shared" si="16"/>
        <v>-70</v>
      </c>
      <c r="B315" s="6">
        <f t="shared" si="15"/>
        <v>-0.35</v>
      </c>
    </row>
    <row r="316" spans="1:2" x14ac:dyDescent="0.25">
      <c r="A316" s="11">
        <f t="shared" si="16"/>
        <v>-60</v>
      </c>
      <c r="B316" s="6">
        <f t="shared" si="15"/>
        <v>-0.3</v>
      </c>
    </row>
    <row r="317" spans="1:2" x14ac:dyDescent="0.25">
      <c r="A317" s="11">
        <f t="shared" si="16"/>
        <v>-50</v>
      </c>
      <c r="B317" s="6">
        <f t="shared" si="15"/>
        <v>-0.25</v>
      </c>
    </row>
    <row r="318" spans="1:2" x14ac:dyDescent="0.25">
      <c r="A318" s="11">
        <f t="shared" si="16"/>
        <v>-40</v>
      </c>
      <c r="B318" s="6">
        <f t="shared" si="15"/>
        <v>-0.2</v>
      </c>
    </row>
    <row r="319" spans="1:2" x14ac:dyDescent="0.25">
      <c r="A319" s="11">
        <f t="shared" si="16"/>
        <v>-30</v>
      </c>
      <c r="B319" s="6">
        <f t="shared" si="15"/>
        <v>-0.15</v>
      </c>
    </row>
    <row r="320" spans="1:2" x14ac:dyDescent="0.25">
      <c r="A320" s="11">
        <f t="shared" si="16"/>
        <v>-20</v>
      </c>
      <c r="B320" s="6">
        <f t="shared" si="15"/>
        <v>-0.1</v>
      </c>
    </row>
    <row r="321" spans="1:3" x14ac:dyDescent="0.25">
      <c r="A321" s="11">
        <f t="shared" si="16"/>
        <v>-10</v>
      </c>
      <c r="B321" s="6">
        <f t="shared" si="15"/>
        <v>-0.05</v>
      </c>
    </row>
    <row r="322" spans="1:3" ht="15.75" thickBot="1" x14ac:dyDescent="0.3">
      <c r="A322" s="8">
        <f t="shared" si="16"/>
        <v>0</v>
      </c>
      <c r="B322" s="9">
        <f t="shared" si="15"/>
        <v>0</v>
      </c>
    </row>
    <row r="323" spans="1:3" ht="15.75" thickTop="1" x14ac:dyDescent="0.25">
      <c r="A323" s="11">
        <f t="shared" si="16"/>
        <v>10</v>
      </c>
      <c r="B323" s="6">
        <f>-$F$243*A323/10^6</f>
        <v>4.1234622211652984E-3</v>
      </c>
      <c r="C323" s="7" t="s">
        <v>13</v>
      </c>
    </row>
    <row r="324" spans="1:3" x14ac:dyDescent="0.25">
      <c r="A324" s="11">
        <f t="shared" si="16"/>
        <v>20</v>
      </c>
      <c r="B324" s="6">
        <f t="shared" ref="B324:B362" si="17">-$F$243*A324/10^6</f>
        <v>8.2469244423305967E-3</v>
      </c>
    </row>
    <row r="325" spans="1:3" x14ac:dyDescent="0.25">
      <c r="A325" s="11">
        <f t="shared" si="16"/>
        <v>30</v>
      </c>
      <c r="B325" s="6">
        <f t="shared" si="17"/>
        <v>1.2370386663495896E-2</v>
      </c>
    </row>
    <row r="326" spans="1:3" x14ac:dyDescent="0.25">
      <c r="A326" s="11">
        <f t="shared" si="16"/>
        <v>40</v>
      </c>
      <c r="B326" s="6">
        <f t="shared" si="17"/>
        <v>1.6493848884661193E-2</v>
      </c>
    </row>
    <row r="327" spans="1:3" x14ac:dyDescent="0.25">
      <c r="A327" s="11">
        <f t="shared" si="16"/>
        <v>50</v>
      </c>
      <c r="B327" s="6">
        <f t="shared" si="17"/>
        <v>2.0617311105826496E-2</v>
      </c>
    </row>
    <row r="328" spans="1:3" x14ac:dyDescent="0.25">
      <c r="A328" s="11">
        <f t="shared" si="16"/>
        <v>60</v>
      </c>
      <c r="B328" s="6">
        <f t="shared" si="17"/>
        <v>2.4740773326991792E-2</v>
      </c>
    </row>
    <row r="329" spans="1:3" x14ac:dyDescent="0.25">
      <c r="A329" s="11">
        <f t="shared" si="16"/>
        <v>70</v>
      </c>
      <c r="B329" s="6">
        <f t="shared" si="17"/>
        <v>2.8864235548157091E-2</v>
      </c>
    </row>
    <row r="330" spans="1:3" x14ac:dyDescent="0.25">
      <c r="A330" s="11">
        <f t="shared" si="16"/>
        <v>80</v>
      </c>
      <c r="B330" s="6">
        <f t="shared" si="17"/>
        <v>3.2987697769322387E-2</v>
      </c>
    </row>
    <row r="331" spans="1:3" x14ac:dyDescent="0.25">
      <c r="A331" s="11">
        <f t="shared" si="16"/>
        <v>90</v>
      </c>
      <c r="B331" s="6">
        <f t="shared" si="17"/>
        <v>3.7111159990487683E-2</v>
      </c>
    </row>
    <row r="332" spans="1:3" x14ac:dyDescent="0.25">
      <c r="A332" s="11">
        <f t="shared" si="16"/>
        <v>100</v>
      </c>
      <c r="B332" s="6">
        <f t="shared" si="17"/>
        <v>4.1234622211652992E-2</v>
      </c>
    </row>
    <row r="333" spans="1:3" x14ac:dyDescent="0.25">
      <c r="A333" s="11">
        <f t="shared" si="16"/>
        <v>110</v>
      </c>
      <c r="B333" s="6">
        <f t="shared" si="17"/>
        <v>4.5358084432818288E-2</v>
      </c>
    </row>
    <row r="334" spans="1:3" x14ac:dyDescent="0.25">
      <c r="A334" s="11">
        <f t="shared" si="16"/>
        <v>120</v>
      </c>
      <c r="B334" s="6">
        <f t="shared" si="17"/>
        <v>4.9481546653983584E-2</v>
      </c>
    </row>
    <row r="335" spans="1:3" x14ac:dyDescent="0.25">
      <c r="A335" s="11">
        <f t="shared" si="16"/>
        <v>130</v>
      </c>
      <c r="B335" s="6">
        <f t="shared" si="17"/>
        <v>5.360500887514888E-2</v>
      </c>
    </row>
    <row r="336" spans="1:3" x14ac:dyDescent="0.25">
      <c r="A336" s="11">
        <f t="shared" si="16"/>
        <v>140</v>
      </c>
      <c r="B336" s="6">
        <f t="shared" si="17"/>
        <v>5.7728471096314182E-2</v>
      </c>
    </row>
    <row r="337" spans="1:2" x14ac:dyDescent="0.25">
      <c r="A337" s="11">
        <f t="shared" si="16"/>
        <v>150</v>
      </c>
      <c r="B337" s="6">
        <f t="shared" si="17"/>
        <v>6.1851933317479478E-2</v>
      </c>
    </row>
    <row r="338" spans="1:2" x14ac:dyDescent="0.25">
      <c r="A338" s="11">
        <f t="shared" si="16"/>
        <v>160</v>
      </c>
      <c r="B338" s="6">
        <f t="shared" si="17"/>
        <v>6.5975395538644774E-2</v>
      </c>
    </row>
    <row r="339" spans="1:2" x14ac:dyDescent="0.25">
      <c r="A339" s="11">
        <f t="shared" si="16"/>
        <v>170</v>
      </c>
      <c r="B339" s="6">
        <f t="shared" si="17"/>
        <v>7.0098857759810076E-2</v>
      </c>
    </row>
    <row r="340" spans="1:2" x14ac:dyDescent="0.25">
      <c r="A340" s="11">
        <f t="shared" si="16"/>
        <v>180</v>
      </c>
      <c r="B340" s="6">
        <f t="shared" si="17"/>
        <v>7.4222319980975365E-2</v>
      </c>
    </row>
    <row r="341" spans="1:2" x14ac:dyDescent="0.25">
      <c r="A341" s="11">
        <f t="shared" si="16"/>
        <v>190</v>
      </c>
      <c r="B341" s="6">
        <f t="shared" si="17"/>
        <v>7.8345782202140682E-2</v>
      </c>
    </row>
    <row r="342" spans="1:2" x14ac:dyDescent="0.25">
      <c r="A342" s="11">
        <f t="shared" si="16"/>
        <v>200</v>
      </c>
      <c r="B342" s="6">
        <f t="shared" si="17"/>
        <v>8.2469244423305985E-2</v>
      </c>
    </row>
    <row r="343" spans="1:2" x14ac:dyDescent="0.25">
      <c r="A343" s="11">
        <f t="shared" si="16"/>
        <v>210</v>
      </c>
      <c r="B343" s="6">
        <f t="shared" si="17"/>
        <v>8.6592706644471273E-2</v>
      </c>
    </row>
    <row r="344" spans="1:2" x14ac:dyDescent="0.25">
      <c r="A344" s="11">
        <f t="shared" si="16"/>
        <v>220</v>
      </c>
      <c r="B344" s="6">
        <f t="shared" si="17"/>
        <v>9.0716168865636576E-2</v>
      </c>
    </row>
    <row r="345" spans="1:2" x14ac:dyDescent="0.25">
      <c r="A345" s="11">
        <f t="shared" si="16"/>
        <v>230</v>
      </c>
      <c r="B345" s="6">
        <f t="shared" si="17"/>
        <v>9.4839631086801879E-2</v>
      </c>
    </row>
    <row r="346" spans="1:2" x14ac:dyDescent="0.25">
      <c r="A346" s="11">
        <f t="shared" si="16"/>
        <v>240</v>
      </c>
      <c r="B346" s="6">
        <f t="shared" si="17"/>
        <v>9.8963093307967168E-2</v>
      </c>
    </row>
    <row r="347" spans="1:2" x14ac:dyDescent="0.25">
      <c r="A347" s="11">
        <f t="shared" si="16"/>
        <v>250</v>
      </c>
      <c r="B347" s="6">
        <f t="shared" si="17"/>
        <v>0.10308655552913247</v>
      </c>
    </row>
    <row r="348" spans="1:2" x14ac:dyDescent="0.25">
      <c r="A348" s="11">
        <f t="shared" si="16"/>
        <v>260</v>
      </c>
      <c r="B348" s="6">
        <f t="shared" si="17"/>
        <v>0.10721001775029776</v>
      </c>
    </row>
    <row r="349" spans="1:2" x14ac:dyDescent="0.25">
      <c r="A349" s="11">
        <f t="shared" si="16"/>
        <v>270</v>
      </c>
      <c r="B349" s="6">
        <f t="shared" si="17"/>
        <v>0.11133347997146306</v>
      </c>
    </row>
    <row r="350" spans="1:2" x14ac:dyDescent="0.25">
      <c r="A350" s="11">
        <f t="shared" si="16"/>
        <v>280</v>
      </c>
      <c r="B350" s="6">
        <f t="shared" si="17"/>
        <v>0.11545694219262836</v>
      </c>
    </row>
    <row r="351" spans="1:2" x14ac:dyDescent="0.25">
      <c r="A351" s="11">
        <f t="shared" si="16"/>
        <v>290</v>
      </c>
      <c r="B351" s="6">
        <f t="shared" si="17"/>
        <v>0.11958040441379365</v>
      </c>
    </row>
    <row r="352" spans="1:2" x14ac:dyDescent="0.25">
      <c r="A352" s="11">
        <f t="shared" si="16"/>
        <v>300</v>
      </c>
      <c r="B352" s="6">
        <f t="shared" si="17"/>
        <v>0.12370386663495896</v>
      </c>
    </row>
    <row r="353" spans="1:3" x14ac:dyDescent="0.25">
      <c r="A353" s="11">
        <f t="shared" si="16"/>
        <v>310</v>
      </c>
      <c r="B353" s="6">
        <f t="shared" si="17"/>
        <v>0.12782732885612427</v>
      </c>
    </row>
    <row r="354" spans="1:3" x14ac:dyDescent="0.25">
      <c r="A354" s="11">
        <f t="shared" si="16"/>
        <v>320</v>
      </c>
      <c r="B354" s="6">
        <f t="shared" si="17"/>
        <v>0.13195079107728955</v>
      </c>
    </row>
    <row r="355" spans="1:3" x14ac:dyDescent="0.25">
      <c r="A355" s="11">
        <f t="shared" si="16"/>
        <v>330</v>
      </c>
      <c r="B355" s="6">
        <f t="shared" si="17"/>
        <v>0.13607425329845485</v>
      </c>
    </row>
    <row r="356" spans="1:3" x14ac:dyDescent="0.25">
      <c r="A356" s="11">
        <f t="shared" si="16"/>
        <v>340</v>
      </c>
      <c r="B356" s="6">
        <f t="shared" si="17"/>
        <v>0.14019771551962015</v>
      </c>
    </row>
    <row r="357" spans="1:3" x14ac:dyDescent="0.25">
      <c r="A357" s="11">
        <f t="shared" si="16"/>
        <v>350</v>
      </c>
      <c r="B357" s="6">
        <f t="shared" si="17"/>
        <v>0.14432117774078546</v>
      </c>
    </row>
    <row r="358" spans="1:3" x14ac:dyDescent="0.25">
      <c r="A358" s="11">
        <f t="shared" si="16"/>
        <v>360</v>
      </c>
      <c r="B358" s="6">
        <f t="shared" si="17"/>
        <v>0.14844463996195073</v>
      </c>
    </row>
    <row r="359" spans="1:3" x14ac:dyDescent="0.25">
      <c r="A359" s="11">
        <f t="shared" si="16"/>
        <v>370</v>
      </c>
      <c r="B359" s="6">
        <f t="shared" si="17"/>
        <v>0.15256810218311603</v>
      </c>
    </row>
    <row r="360" spans="1:3" x14ac:dyDescent="0.25">
      <c r="A360" s="11">
        <f t="shared" si="16"/>
        <v>380</v>
      </c>
      <c r="B360" s="6">
        <f t="shared" si="17"/>
        <v>0.15669156440428136</v>
      </c>
    </row>
    <row r="361" spans="1:3" x14ac:dyDescent="0.25">
      <c r="A361" s="11">
        <f t="shared" si="16"/>
        <v>390</v>
      </c>
      <c r="B361" s="6">
        <f t="shared" si="17"/>
        <v>0.16081502662544667</v>
      </c>
    </row>
    <row r="362" spans="1:3" ht="15.75" thickBot="1" x14ac:dyDescent="0.3">
      <c r="A362" s="8">
        <f t="shared" si="16"/>
        <v>400</v>
      </c>
      <c r="B362" s="9">
        <f t="shared" si="17"/>
        <v>0.16493848884661197</v>
      </c>
    </row>
    <row r="363" spans="1:3" ht="15.75" thickTop="1" x14ac:dyDescent="0.25">
      <c r="A363" s="11">
        <f t="shared" si="16"/>
        <v>410</v>
      </c>
      <c r="B363" s="5">
        <f>$F$1*($H$1/A363)^$D$1</f>
        <v>0.16171224970319714</v>
      </c>
      <c r="C363" s="7" t="s">
        <v>6</v>
      </c>
    </row>
    <row r="364" spans="1:3" x14ac:dyDescent="0.25">
      <c r="A364" s="11">
        <f t="shared" si="16"/>
        <v>420</v>
      </c>
      <c r="B364" s="5">
        <f t="shared" ref="B364:B382" si="18">$F$1*($H$1/A364)^$D$1</f>
        <v>0.15862461171124959</v>
      </c>
    </row>
    <row r="365" spans="1:3" x14ac:dyDescent="0.25">
      <c r="A365" s="11">
        <f t="shared" si="16"/>
        <v>430</v>
      </c>
      <c r="B365" s="5">
        <f t="shared" si="18"/>
        <v>0.15566652831981356</v>
      </c>
    </row>
    <row r="366" spans="1:3" x14ac:dyDescent="0.25">
      <c r="A366" s="11">
        <f t="shared" si="16"/>
        <v>440</v>
      </c>
      <c r="B366" s="5">
        <f t="shared" si="18"/>
        <v>0.15282973608468389</v>
      </c>
    </row>
    <row r="367" spans="1:3" x14ac:dyDescent="0.25">
      <c r="A367" s="11">
        <f t="shared" si="16"/>
        <v>450</v>
      </c>
      <c r="B367" s="5">
        <f t="shared" si="18"/>
        <v>0.1501066709467348</v>
      </c>
    </row>
    <row r="368" spans="1:3" x14ac:dyDescent="0.25">
      <c r="A368" s="11">
        <f t="shared" ref="A368:A382" si="19">A367+10</f>
        <v>460</v>
      </c>
      <c r="B368" s="5">
        <f t="shared" si="18"/>
        <v>0.14749039509006595</v>
      </c>
    </row>
    <row r="369" spans="1:2" x14ac:dyDescent="0.25">
      <c r="A369" s="11">
        <f t="shared" si="19"/>
        <v>470</v>
      </c>
      <c r="B369" s="5">
        <f t="shared" si="18"/>
        <v>0.14497453284590767</v>
      </c>
    </row>
    <row r="370" spans="1:2" x14ac:dyDescent="0.25">
      <c r="A370" s="11">
        <f t="shared" si="19"/>
        <v>480</v>
      </c>
      <c r="B370" s="5">
        <f t="shared" si="18"/>
        <v>0.14255321435804824</v>
      </c>
    </row>
    <row r="371" spans="1:2" x14ac:dyDescent="0.25">
      <c r="A371" s="11">
        <f t="shared" si="19"/>
        <v>490</v>
      </c>
      <c r="B371" s="5">
        <f t="shared" si="18"/>
        <v>0.14022102593040889</v>
      </c>
    </row>
    <row r="372" spans="1:2" x14ac:dyDescent="0.25">
      <c r="A372" s="11">
        <f t="shared" si="19"/>
        <v>500</v>
      </c>
      <c r="B372" s="5">
        <f t="shared" si="18"/>
        <v>0.13797296614612148</v>
      </c>
    </row>
    <row r="373" spans="1:2" x14ac:dyDescent="0.25">
      <c r="A373" s="11">
        <f t="shared" si="19"/>
        <v>510</v>
      </c>
      <c r="B373" s="5">
        <f t="shared" si="18"/>
        <v>0.13580440698702223</v>
      </c>
    </row>
    <row r="374" spans="1:2" x14ac:dyDescent="0.25">
      <c r="A374" s="11">
        <f t="shared" si="19"/>
        <v>520</v>
      </c>
      <c r="B374" s="5">
        <f t="shared" si="18"/>
        <v>0.13371105929836702</v>
      </c>
    </row>
    <row r="375" spans="1:2" x14ac:dyDescent="0.25">
      <c r="A375" s="11">
        <f t="shared" si="19"/>
        <v>530</v>
      </c>
      <c r="B375" s="5">
        <f t="shared" si="18"/>
        <v>0.13168894204018655</v>
      </c>
    </row>
    <row r="376" spans="1:2" x14ac:dyDescent="0.25">
      <c r="A376" s="11">
        <f t="shared" si="19"/>
        <v>540</v>
      </c>
      <c r="B376" s="5">
        <f t="shared" si="18"/>
        <v>0.12973435484753726</v>
      </c>
    </row>
    <row r="377" spans="1:2" x14ac:dyDescent="0.25">
      <c r="A377" s="11">
        <f t="shared" si="19"/>
        <v>550</v>
      </c>
      <c r="B377" s="5">
        <f t="shared" si="18"/>
        <v>0.127843853489785</v>
      </c>
    </row>
    <row r="378" spans="1:2" x14ac:dyDescent="0.25">
      <c r="A378" s="11">
        <f t="shared" si="19"/>
        <v>560</v>
      </c>
      <c r="B378" s="5">
        <f t="shared" si="18"/>
        <v>0.12601422787624963</v>
      </c>
    </row>
    <row r="379" spans="1:2" x14ac:dyDescent="0.25">
      <c r="A379" s="11">
        <f t="shared" si="19"/>
        <v>570</v>
      </c>
      <c r="B379" s="5">
        <f t="shared" si="18"/>
        <v>0.12424248230388819</v>
      </c>
    </row>
    <row r="380" spans="1:2" x14ac:dyDescent="0.25">
      <c r="A380" s="11">
        <f t="shared" si="19"/>
        <v>580</v>
      </c>
      <c r="B380" s="5">
        <f t="shared" si="18"/>
        <v>0.12252581768369154</v>
      </c>
    </row>
    <row r="381" spans="1:2" x14ac:dyDescent="0.25">
      <c r="A381" s="11">
        <f t="shared" si="19"/>
        <v>590</v>
      </c>
      <c r="B381" s="5">
        <f t="shared" si="18"/>
        <v>0.12086161551734304</v>
      </c>
    </row>
    <row r="382" spans="1:2" ht="15.75" thickBot="1" x14ac:dyDescent="0.3">
      <c r="A382" s="8">
        <f t="shared" si="19"/>
        <v>600</v>
      </c>
      <c r="B382" s="9">
        <f t="shared" si="18"/>
        <v>0.11924742342543795</v>
      </c>
    </row>
    <row r="383" spans="1:2" ht="15.75" thickTop="1" x14ac:dyDescent="0.25"/>
  </sheetData>
  <pageMargins left="0.7" right="0.7" top="0.75" bottom="0.75" header="0.3" footer="0.3"/>
  <pageSetup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workbookViewId="0">
      <selection activeCell="B8" sqref="B8"/>
    </sheetView>
  </sheetViews>
  <sheetFormatPr defaultRowHeight="15" x14ac:dyDescent="0.25"/>
  <sheetData>
    <row r="1" spans="1:4" x14ac:dyDescent="0.25">
      <c r="A1" s="3" t="s">
        <v>14</v>
      </c>
      <c r="B1" s="15">
        <v>30</v>
      </c>
      <c r="C1" s="3" t="s">
        <v>15</v>
      </c>
      <c r="D1" s="5">
        <f>B2/(2*B1)*B4/B5</f>
        <v>2.8571428571428574E-2</v>
      </c>
    </row>
    <row r="2" spans="1:4" x14ac:dyDescent="0.25">
      <c r="A2" s="3" t="s">
        <v>16</v>
      </c>
      <c r="B2" s="13">
        <v>3</v>
      </c>
      <c r="C2" s="3" t="s">
        <v>17</v>
      </c>
      <c r="D2">
        <v>2.4</v>
      </c>
    </row>
    <row r="3" spans="1:4" x14ac:dyDescent="0.25">
      <c r="A3" s="3" t="s">
        <v>18</v>
      </c>
      <c r="B3" s="15">
        <v>30</v>
      </c>
      <c r="C3" s="3" t="s">
        <v>19</v>
      </c>
      <c r="D3">
        <f>D2/30</f>
        <v>0.08</v>
      </c>
    </row>
    <row r="4" spans="1:4" x14ac:dyDescent="0.25">
      <c r="A4" s="3" t="s">
        <v>20</v>
      </c>
      <c r="B4" s="14">
        <f>2*B1/B3</f>
        <v>2</v>
      </c>
      <c r="C4" s="3" t="s">
        <v>21</v>
      </c>
      <c r="D4">
        <v>1</v>
      </c>
    </row>
    <row r="5" spans="1:4" x14ac:dyDescent="0.25">
      <c r="A5" s="3" t="s">
        <v>22</v>
      </c>
      <c r="B5" s="13">
        <v>3.5</v>
      </c>
      <c r="C5" s="3" t="s">
        <v>23</v>
      </c>
      <c r="D5">
        <f>-D2/D4</f>
        <v>-2.4</v>
      </c>
    </row>
    <row r="6" spans="1:4" x14ac:dyDescent="0.25">
      <c r="A6" s="14">
        <v>0</v>
      </c>
      <c r="B6" s="14">
        <f t="shared" ref="B6:B23" si="0">IF(A6&lt;$B$4,$B$3*A6*(1-A6/(2*$B$4)),($B$2-$B$1)*(A6-$B$4)/($B$5-$B$4)+$B$1)</f>
        <v>0</v>
      </c>
    </row>
    <row r="7" spans="1:4" x14ac:dyDescent="0.25">
      <c r="A7" s="14">
        <f>A6+$B$5/35</f>
        <v>0.1</v>
      </c>
      <c r="B7" s="14">
        <f t="shared" si="0"/>
        <v>2.9249999999999998</v>
      </c>
    </row>
    <row r="8" spans="1:4" x14ac:dyDescent="0.25">
      <c r="A8" s="14">
        <f t="shared" ref="A8:A41" si="1">A7+$B$5/35</f>
        <v>0.2</v>
      </c>
      <c r="B8" s="14">
        <f t="shared" si="0"/>
        <v>5.6999999999999993</v>
      </c>
    </row>
    <row r="9" spans="1:4" x14ac:dyDescent="0.25">
      <c r="A9" s="14">
        <f t="shared" si="1"/>
        <v>0.30000000000000004</v>
      </c>
      <c r="B9" s="14">
        <f t="shared" si="0"/>
        <v>8.3250000000000028</v>
      </c>
    </row>
    <row r="10" spans="1:4" x14ac:dyDescent="0.25">
      <c r="A10" s="14">
        <f t="shared" si="1"/>
        <v>0.4</v>
      </c>
      <c r="B10" s="14">
        <f t="shared" si="0"/>
        <v>10.8</v>
      </c>
    </row>
    <row r="11" spans="1:4" x14ac:dyDescent="0.25">
      <c r="A11" s="14">
        <f t="shared" si="1"/>
        <v>0.5</v>
      </c>
      <c r="B11" s="14">
        <f t="shared" si="0"/>
        <v>13.125</v>
      </c>
    </row>
    <row r="12" spans="1:4" x14ac:dyDescent="0.25">
      <c r="A12" s="14">
        <f t="shared" si="1"/>
        <v>0.6</v>
      </c>
      <c r="B12" s="14">
        <f t="shared" si="0"/>
        <v>15.299999999999999</v>
      </c>
    </row>
    <row r="13" spans="1:4" x14ac:dyDescent="0.25">
      <c r="A13" s="14">
        <f t="shared" si="1"/>
        <v>0.7</v>
      </c>
      <c r="B13" s="14">
        <f t="shared" si="0"/>
        <v>17.324999999999999</v>
      </c>
    </row>
    <row r="14" spans="1:4" x14ac:dyDescent="0.25">
      <c r="A14" s="14">
        <f t="shared" si="1"/>
        <v>0.79999999999999993</v>
      </c>
      <c r="B14" s="14">
        <f t="shared" si="0"/>
        <v>19.2</v>
      </c>
    </row>
    <row r="15" spans="1:4" x14ac:dyDescent="0.25">
      <c r="A15" s="14">
        <f t="shared" si="1"/>
        <v>0.89999999999999991</v>
      </c>
      <c r="B15" s="14">
        <f t="shared" si="0"/>
        <v>20.924999999999997</v>
      </c>
    </row>
    <row r="16" spans="1:4" x14ac:dyDescent="0.25">
      <c r="A16" s="14">
        <f t="shared" si="1"/>
        <v>0.99999999999999989</v>
      </c>
      <c r="B16" s="14">
        <f t="shared" si="0"/>
        <v>22.499999999999996</v>
      </c>
    </row>
    <row r="17" spans="1:2" x14ac:dyDescent="0.25">
      <c r="A17" s="14">
        <f t="shared" si="1"/>
        <v>1.0999999999999999</v>
      </c>
      <c r="B17" s="14">
        <f t="shared" si="0"/>
        <v>23.924999999999997</v>
      </c>
    </row>
    <row r="18" spans="1:2" x14ac:dyDescent="0.25">
      <c r="A18" s="14">
        <f t="shared" si="1"/>
        <v>1.2</v>
      </c>
      <c r="B18" s="14">
        <f t="shared" si="0"/>
        <v>25.2</v>
      </c>
    </row>
    <row r="19" spans="1:2" x14ac:dyDescent="0.25">
      <c r="A19" s="14">
        <f t="shared" si="1"/>
        <v>1.3</v>
      </c>
      <c r="B19" s="14">
        <f t="shared" si="0"/>
        <v>26.325000000000003</v>
      </c>
    </row>
    <row r="20" spans="1:2" x14ac:dyDescent="0.25">
      <c r="A20" s="14">
        <f t="shared" si="1"/>
        <v>1.4000000000000001</v>
      </c>
      <c r="B20" s="14">
        <f t="shared" si="0"/>
        <v>27.3</v>
      </c>
    </row>
    <row r="21" spans="1:2" x14ac:dyDescent="0.25">
      <c r="A21" s="14">
        <f t="shared" si="1"/>
        <v>1.5000000000000002</v>
      </c>
      <c r="B21" s="14">
        <f t="shared" si="0"/>
        <v>28.125000000000004</v>
      </c>
    </row>
    <row r="22" spans="1:2" x14ac:dyDescent="0.25">
      <c r="A22" s="14">
        <f t="shared" si="1"/>
        <v>1.6000000000000003</v>
      </c>
      <c r="B22" s="14">
        <f t="shared" si="0"/>
        <v>28.799999999999997</v>
      </c>
    </row>
    <row r="23" spans="1:2" x14ac:dyDescent="0.25">
      <c r="A23" s="14">
        <f t="shared" si="1"/>
        <v>1.7000000000000004</v>
      </c>
      <c r="B23" s="14">
        <f t="shared" si="0"/>
        <v>29.325000000000006</v>
      </c>
    </row>
    <row r="24" spans="1:2" x14ac:dyDescent="0.25">
      <c r="A24" s="14">
        <f t="shared" si="1"/>
        <v>1.8000000000000005</v>
      </c>
      <c r="B24" s="14">
        <f>IF(A24&lt;$B$4,$B$3*A24*(1-A24/(2*$B$4)),($B$2-$B$1)*(A24-$B$4)/($B$5-$B$4)+$B$1)</f>
        <v>29.7</v>
      </c>
    </row>
    <row r="25" spans="1:2" x14ac:dyDescent="0.25">
      <c r="A25" s="14">
        <f t="shared" si="1"/>
        <v>1.9000000000000006</v>
      </c>
      <c r="B25" s="14">
        <f t="shared" ref="B25:B41" si="2">IF(A25&lt;$B$4,$B$3*A25*(1-A25/(2*$B$4)),($B$2-$B$1)*(A25-$B$4)/($B$5-$B$4)+$B$1)</f>
        <v>29.925000000000001</v>
      </c>
    </row>
    <row r="26" spans="1:2" x14ac:dyDescent="0.25">
      <c r="A26" s="14">
        <f t="shared" si="1"/>
        <v>2.0000000000000004</v>
      </c>
      <c r="B26" s="14">
        <f t="shared" si="2"/>
        <v>29.999999999999993</v>
      </c>
    </row>
    <row r="27" spans="1:2" x14ac:dyDescent="0.25">
      <c r="A27" s="14">
        <f t="shared" si="1"/>
        <v>2.1000000000000005</v>
      </c>
      <c r="B27" s="14">
        <f t="shared" si="2"/>
        <v>28.199999999999989</v>
      </c>
    </row>
    <row r="28" spans="1:2" x14ac:dyDescent="0.25">
      <c r="A28" s="14">
        <f t="shared" si="1"/>
        <v>2.2000000000000006</v>
      </c>
      <c r="B28" s="14">
        <f t="shared" si="2"/>
        <v>26.399999999999988</v>
      </c>
    </row>
    <row r="29" spans="1:2" x14ac:dyDescent="0.25">
      <c r="A29" s="14">
        <f t="shared" si="1"/>
        <v>2.3000000000000007</v>
      </c>
      <c r="B29" s="14">
        <f t="shared" si="2"/>
        <v>24.599999999999987</v>
      </c>
    </row>
    <row r="30" spans="1:2" x14ac:dyDescent="0.25">
      <c r="A30" s="14">
        <f t="shared" si="1"/>
        <v>2.4000000000000008</v>
      </c>
      <c r="B30" s="14">
        <f t="shared" si="2"/>
        <v>22.799999999999986</v>
      </c>
    </row>
    <row r="31" spans="1:2" x14ac:dyDescent="0.25">
      <c r="A31" s="14">
        <f t="shared" si="1"/>
        <v>2.5000000000000009</v>
      </c>
      <c r="B31" s="14">
        <f t="shared" si="2"/>
        <v>20.999999999999986</v>
      </c>
    </row>
    <row r="32" spans="1:2" x14ac:dyDescent="0.25">
      <c r="A32" s="14">
        <f t="shared" si="1"/>
        <v>2.600000000000001</v>
      </c>
      <c r="B32" s="14">
        <f t="shared" si="2"/>
        <v>19.199999999999982</v>
      </c>
    </row>
    <row r="33" spans="1:2" x14ac:dyDescent="0.25">
      <c r="A33" s="14">
        <f t="shared" si="1"/>
        <v>2.7000000000000011</v>
      </c>
      <c r="B33" s="14">
        <f t="shared" si="2"/>
        <v>17.399999999999984</v>
      </c>
    </row>
    <row r="34" spans="1:2" x14ac:dyDescent="0.25">
      <c r="A34" s="14">
        <f t="shared" si="1"/>
        <v>2.8000000000000012</v>
      </c>
      <c r="B34" s="14">
        <f t="shared" si="2"/>
        <v>15.59999999999998</v>
      </c>
    </row>
    <row r="35" spans="1:2" x14ac:dyDescent="0.25">
      <c r="A35" s="14">
        <f t="shared" si="1"/>
        <v>2.9000000000000012</v>
      </c>
      <c r="B35" s="14">
        <f t="shared" si="2"/>
        <v>13.799999999999979</v>
      </c>
    </row>
    <row r="36" spans="1:2" x14ac:dyDescent="0.25">
      <c r="A36" s="14">
        <f t="shared" si="1"/>
        <v>3.0000000000000013</v>
      </c>
      <c r="B36" s="14">
        <f t="shared" si="2"/>
        <v>11.999999999999975</v>
      </c>
    </row>
    <row r="37" spans="1:2" x14ac:dyDescent="0.25">
      <c r="A37" s="14">
        <f t="shared" si="1"/>
        <v>3.1000000000000014</v>
      </c>
      <c r="B37" s="14">
        <f t="shared" si="2"/>
        <v>10.199999999999974</v>
      </c>
    </row>
    <row r="38" spans="1:2" x14ac:dyDescent="0.25">
      <c r="A38" s="14">
        <f t="shared" si="1"/>
        <v>3.2000000000000015</v>
      </c>
      <c r="B38" s="14">
        <f t="shared" si="2"/>
        <v>8.3999999999999737</v>
      </c>
    </row>
    <row r="39" spans="1:2" x14ac:dyDescent="0.25">
      <c r="A39" s="14">
        <f t="shared" si="1"/>
        <v>3.3000000000000016</v>
      </c>
      <c r="B39" s="14">
        <f t="shared" si="2"/>
        <v>6.5999999999999694</v>
      </c>
    </row>
    <row r="40" spans="1:2" x14ac:dyDescent="0.25">
      <c r="A40" s="14">
        <f t="shared" si="1"/>
        <v>3.4000000000000017</v>
      </c>
      <c r="B40" s="14">
        <f t="shared" si="2"/>
        <v>4.7999999999999687</v>
      </c>
    </row>
    <row r="41" spans="1:2" x14ac:dyDescent="0.25">
      <c r="A41" s="14">
        <f t="shared" si="1"/>
        <v>3.5000000000000018</v>
      </c>
      <c r="B41" s="14">
        <f t="shared" si="2"/>
        <v>2.999999999999968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MC10</vt:lpstr>
      <vt:lpstr>ACI</vt:lpstr>
      <vt:lpstr>s-e Lin</vt:lpstr>
      <vt:lpstr>s-e NLin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Author</dc:creator>
  <cp:lastModifiedBy>Author</cp:lastModifiedBy>
  <dcterms:created xsi:type="dcterms:W3CDTF">2019-09-22T23:05:42Z</dcterms:created>
  <dcterms:modified xsi:type="dcterms:W3CDTF">2019-11-12T05:30:48Z</dcterms:modified>
</cp:coreProperties>
</file>